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225" activeTab="2"/>
  </bookViews>
  <sheets>
    <sheet name="inwestycje  " sheetId="1" r:id="rId1"/>
    <sheet name="przychody" sheetId="2" r:id="rId2"/>
    <sheet name="unijny" sheetId="3" r:id="rId3"/>
  </sheets>
  <definedNames>
    <definedName name="_xlnm.Print_Titles" localSheetId="0">'inwestycje  '!$9:$11</definedName>
  </definedNames>
  <calcPr fullCalcOnLoad="1"/>
</workbook>
</file>

<file path=xl/sharedStrings.xml><?xml version="1.0" encoding="utf-8"?>
<sst xmlns="http://schemas.openxmlformats.org/spreadsheetml/2006/main" count="184" uniqueCount="151">
  <si>
    <t>Nazwa</t>
  </si>
  <si>
    <t>Rady Miejskiej w Czempiniu</t>
  </si>
  <si>
    <t>Lp.</t>
  </si>
  <si>
    <t>w tym:</t>
  </si>
  <si>
    <t>1.</t>
  </si>
  <si>
    <t>Razem:</t>
  </si>
  <si>
    <t>4.</t>
  </si>
  <si>
    <t>2.</t>
  </si>
  <si>
    <t>3.</t>
  </si>
  <si>
    <t>WYKAZ GMINNYCH WYDATKÓW MAJĄTKOWYCH NA 2020 r.</t>
  </si>
  <si>
    <t>Wysokość wydatków w 2020r.</t>
  </si>
  <si>
    <t>Data rozpocz.  inwestycji</t>
  </si>
  <si>
    <t>Przewid.termin zakończenia inwestycji</t>
  </si>
  <si>
    <t>Źródła finansowania inwestycji w tym:</t>
  </si>
  <si>
    <t>z budżetu</t>
  </si>
  <si>
    <t>inne</t>
  </si>
  <si>
    <t>Pomoc finansowa w formie dotacji celowej dla Województwa Wielkopolskiego  z przeznaczeniem na realizację zadania polegającego na "Rozbudowie drogi wojewódzkiej 311 - ścieżka pieszo-rowerowa od skrzyżowania z ulicą Spółdzielców w Czempiniu do końca wsi Jasień"  /60013 § 6300/</t>
  </si>
  <si>
    <t>Dotacja dla Powiatu Kościańskiego na pomoc finansową na zadanie "Przebudowa drogi powiatowej nr 2491P na odcinku od skrzyżowania z drogą powiatową  nr 3911P do miejscowości Srocko Wielkie" /60014 § 6300/</t>
  </si>
  <si>
    <t xml:space="preserve">Projekt budowy drogi gminnej w Starym Gołębinie (do kaplicy)  /60016 § 6050/  FS </t>
  </si>
  <si>
    <t>2020</t>
  </si>
  <si>
    <t xml:space="preserve">Budowa chodnika w Starym Tarnowie  - przedłużenie ul.Polnej /60016 § 6050/  FS </t>
  </si>
  <si>
    <t>5.</t>
  </si>
  <si>
    <t>Budowa chodnika z dopuszczeniem ruchu rowerowego i oświetlenia w Piechaninie działki 192/3 i 193/3 /60016 § 6050/</t>
  </si>
  <si>
    <t>6.</t>
  </si>
  <si>
    <t>Projekt budowy ulicy Adama Mickiewicza i fragmentu ulicy Stefana Żeromskiego w Czempiniu oraz budowy drogi w Starym Tarnowie od ulicy Śremskiej do ulicy Juliusza Słowackiego  /60016 § 6050/</t>
  </si>
  <si>
    <t>7.</t>
  </si>
  <si>
    <t xml:space="preserve">Budowa chodnika na terenie wsi Bieczyny    /60016 § 6050/   FS     </t>
  </si>
  <si>
    <t>8.</t>
  </si>
  <si>
    <t>środki unijne</t>
  </si>
  <si>
    <t>9.</t>
  </si>
  <si>
    <t>Projekt rozbudowy drogi wojewóddzkiej 311 - ścieżka pieszo-rowerowa od skrzyżowania z ul.Spółdzielców w Czempiniu  do końca wsi Jasień /60016 § 6050/</t>
  </si>
  <si>
    <t>10.</t>
  </si>
  <si>
    <t>Przebudowa zatoki na rynku w Czempiniu - projekt / 60016 § 6050/</t>
  </si>
  <si>
    <t>11.</t>
  </si>
  <si>
    <t>Uzbrojenie terenu inwestycyjnego w Głuchowie w pobliżu węzła Czempiń na drodze ekdpresowej S5 /70005 § 6057,6059,6050/</t>
  </si>
  <si>
    <t>12.</t>
  </si>
  <si>
    <t>Zakup gruntu w Siernikach /70005 § 6060/ FS</t>
  </si>
  <si>
    <t>13.</t>
  </si>
  <si>
    <t>Wykup gruntów pod drogi i inne  /70005 §6060/</t>
  </si>
  <si>
    <t>14.</t>
  </si>
  <si>
    <t>17.</t>
  </si>
  <si>
    <t>15.</t>
  </si>
  <si>
    <t>16.</t>
  </si>
  <si>
    <t>Dotacja na budowę strażnicy OSP w Srocku Wielkim     /75412 § 6230/ w tym 10.000 zł FS Srocko Wielkie, FO 5.076 zł Os.nr 1</t>
  </si>
  <si>
    <t>18.</t>
  </si>
  <si>
    <t>Projekt modernizacji strażnicy OSP  Czempiń  /75412 § 6050/</t>
  </si>
  <si>
    <t>19.</t>
  </si>
  <si>
    <t>20.</t>
  </si>
  <si>
    <t>21.</t>
  </si>
  <si>
    <t>Odpłatne przyjęcie urządzeń wodno-kanalizacyjknych od osób fizycznych i prawnych /90001 § 6050/</t>
  </si>
  <si>
    <t>22.</t>
  </si>
  <si>
    <t>Dotacje dla podmiotów spoza sektora finansów publicznych na dofinansowanie budowy przydomowych oczyszczalni ścieków /90001 § 6230/</t>
  </si>
  <si>
    <t>23.</t>
  </si>
  <si>
    <t>24.</t>
  </si>
  <si>
    <t>Rozbudowa oświetlenia ulicznego  /90015 § 6050/</t>
  </si>
  <si>
    <t>25.</t>
  </si>
  <si>
    <t>Zakup i montaż lampy solarnej we wsi Nowe Borówko - rozbudowa oświetlenia ulicznego /90015 § 6050/ FS</t>
  </si>
  <si>
    <t>26.</t>
  </si>
  <si>
    <t>Zakup i montaż lampy solarnej we wsi Zadory - rozbudowa oświetlenia ulicznego /90015 § 6050/ FS</t>
  </si>
  <si>
    <t>27.</t>
  </si>
  <si>
    <t>Zakup i montaż lampy solarnej we wsi Donatowo - rozbudowa oświetlenia ulicznego /90015 § 6050/ FS</t>
  </si>
  <si>
    <t>28.</t>
  </si>
  <si>
    <t>Zakup i montaż lampy solarnej we wsi Sierniki - rozbudowa oświetlenia ulicznego/90015 § 6050/  FS</t>
  </si>
  <si>
    <t>Z lotu ptaka - działania proekologiczne na terenie gmin Czempiń i Mosina, polegające na stworzeniu szlaku oraz wielu ofert edukacji przyrodniczej, zajęciach i kampaniach edukacyjnych, a także na doposażeniu i modernizacji ośrodków edukacji ekologicznej    /90095 § 6050/</t>
  </si>
  <si>
    <t>Przebudowa wraz z termomodernizacją świetlicy w Jasieniu /92109 § 6050/   FS</t>
  </si>
  <si>
    <t>29.</t>
  </si>
  <si>
    <t>Projekt termomodernizacji i adaptacji budynku sali gimnastycznej w Starym Gołębinie na przedszkole /92695 § 6050/</t>
  </si>
  <si>
    <t>30.</t>
  </si>
  <si>
    <t>Modernizacja budynku klubowego na 100-lecie klubu Helios Czempiń (projekt duży budżetu obywatelskiego)  /92695 § 6050/</t>
  </si>
  <si>
    <t>31.</t>
  </si>
  <si>
    <t>Budowa altany (wiaty) na stadionie w Głuchowie wraz z wyposażeniem /92695 § 6050/ FS</t>
  </si>
  <si>
    <t>32.</t>
  </si>
  <si>
    <t>Rezerwa na wydatki majątkowe /75818 § 6800/</t>
  </si>
  <si>
    <t>Tor Przeszkód CTiF dla Młodzieżowych Drużyn Pożarniczych z terenu gminy Czempiń (projekt mały budżetu obywatelskiego) /75412 § 6060/</t>
  </si>
  <si>
    <t>Przebudowa drogi w Piechaninie  nr 576087P   /60016 § 6058, 6059, 6050/</t>
  </si>
  <si>
    <t>Rewitalizacja społeczna, przestrzenno-funkcjonalna, środowiskowa i techniczna Miasta Czempinia poprzez utworzenie Centrum Aktywizacji Społecznej, zielonej enklawy miasta, ogólnodostępnych stref rekreacji, ciagów komunikacyjnych oraz budowe monitoringu /75095 § 6050, 6057,6059/</t>
  </si>
  <si>
    <t>Dotacja na modernizację budynku OSP Borowo  /75412 § 6230/</t>
  </si>
  <si>
    <t>Dotacja celowa dla Powiatu Kościańskiego na modernizację szpitala  /85111 § 6300/</t>
  </si>
  <si>
    <t>Wspieranie korzystania z odnawialnych źródeł energii - dotacje dla podmiotów spoza sektora finansów publicznych na dofinansowanie zakupu i montażu lub wymiany źródeł energii /90005 § 6230/</t>
  </si>
  <si>
    <t>Załącznik nr 3</t>
  </si>
  <si>
    <t xml:space="preserve">Dostawa i montaż altany na placu zabaw na osiedlu Nr 6 w Czempiniu /92695 § 6050/  </t>
  </si>
  <si>
    <t>z dnia 20 stycznia 2020r.</t>
  </si>
  <si>
    <t>Projekt przebudowy przepustów na rowach melioracyjnych w Jarogniewicach. / 60016 § 6050/</t>
  </si>
  <si>
    <t>Rewitalizacja społeczna, przestrzenno-funkcjonalna, środowiskowa i techniczna Miasta Czempinia poprzez utworzenie Centrum Aktywizacji Społecznej, zielonej enklawy miasta, ogólnodostępnych stref rekreacji, ciagów komunikacyjnych oraz budowe monitoringu - pozostale nakłady. /75095 § 6050/</t>
  </si>
  <si>
    <t>33.</t>
  </si>
  <si>
    <t>34.</t>
  </si>
  <si>
    <t>35.</t>
  </si>
  <si>
    <t>Budynek gospodarczy przy świetlicy wiejskiej w Betkowie  /92109 § 6050/ FS</t>
  </si>
  <si>
    <t>Utworzenie pracowni komputerowej w Szkole Podstawowej w Głuchowie. / 80101 § 6050/</t>
  </si>
  <si>
    <t>Utworzenie pracowni komputerowej w Szkole Podstawowej w Czempiniu. / 80101 § 6050/</t>
  </si>
  <si>
    <t>36.</t>
  </si>
  <si>
    <t>Załącznik nr 4</t>
  </si>
  <si>
    <t>PLANOWANE PRZYCHODY I ROZCHODY BUDŻETU NA 2020 r.</t>
  </si>
  <si>
    <t xml:space="preserve">               </t>
  </si>
  <si>
    <t>PRZYCHODY:</t>
  </si>
  <si>
    <t>Par.903</t>
  </si>
  <si>
    <t>Przychody z zaciągniętych pożyczek na finansowanie zadań realizowanych z udziałem środków pochodzących z budżetu Unii Europejskiej</t>
  </si>
  <si>
    <t>- pożyczka na prefinansowaniezadania inwestycyjnego pn. "Przebudowa drogi gminnej  w Betkowie nr 576024P"</t>
  </si>
  <si>
    <t>par. 931</t>
  </si>
  <si>
    <t>Przychody ze sprzedaży innych papierów wartościowych</t>
  </si>
  <si>
    <t>par. 950</t>
  </si>
  <si>
    <t>Wolne środki, o których mowa w art.. 217 ust. 2 pkt 6 ustawy</t>
  </si>
  <si>
    <t>ROZCHODY:</t>
  </si>
  <si>
    <t>par. 963</t>
  </si>
  <si>
    <t>Spłaty pożyczek udzielonych na finansowanie zadań realizowanych z udziałem środków pochodzących z budżetu Unii Europejskiej</t>
  </si>
  <si>
    <t>par.992</t>
  </si>
  <si>
    <t>Spłaty otrzymanych krajowych pożyczek i kredytów</t>
  </si>
  <si>
    <t xml:space="preserve">Limity wydatków na programy i projekty realizowane ze środków o których mowa w art. 5 ust. 1 pkt. 2 i 3 ustawy z dnia 27 sierpnia 2009r. o finansach publicznych </t>
  </si>
  <si>
    <t xml:space="preserve">Rozdział </t>
  </si>
  <si>
    <t>Okres realizacji projektu</t>
  </si>
  <si>
    <t>Łączne nakłady finansowe/klasyfikacja budżetowa</t>
  </si>
  <si>
    <t>Wysokość wydatków w roku 2020</t>
  </si>
  <si>
    <t>Razem</t>
  </si>
  <si>
    <t>Środki z budżetu UE</t>
  </si>
  <si>
    <t>Środki własne kwalifikowalne</t>
  </si>
  <si>
    <t>Współfinansowanie z budżetu Państwa</t>
  </si>
  <si>
    <t>Środki własne niekwalifikowalne</t>
  </si>
  <si>
    <t>Nazwa projektu, jednostka realizująca</t>
  </si>
  <si>
    <t>Rozdział 80101</t>
  </si>
  <si>
    <t>Szkoły podstawowe</t>
  </si>
  <si>
    <t>2017           -                 2020</t>
  </si>
  <si>
    <t>"Doposażenie pracowni, wsparcie dla nauczycieli oraz zajęcia dodatkowe dla uczniów Szkoły Podstawowej w Czempiniu
oraz Gimnazjum w Borowie"                                                                                                 Urząd Gminy w Czempiniu</t>
  </si>
  <si>
    <t>80101 par. 401</t>
  </si>
  <si>
    <t>80101 par. 411</t>
  </si>
  <si>
    <t>80101 par. 412</t>
  </si>
  <si>
    <t>80101 par. 417</t>
  </si>
  <si>
    <t>80101 par. 421</t>
  </si>
  <si>
    <t>2018         -         2020</t>
  </si>
  <si>
    <t>"Poprawa warunków dydaktycznych w SP w Głuchowie poprzez doposażenie pracowni, wsparcie dla nauczycieli oraz zajęcia dodatkowe dla uczniów"                                                                                                 Urząd Gminy w Czempiniu</t>
  </si>
  <si>
    <t>80101 par. 430</t>
  </si>
  <si>
    <t>Rozdział 75095</t>
  </si>
  <si>
    <t>Pozostała działalność</t>
  </si>
  <si>
    <t>2018                -                2020</t>
  </si>
  <si>
    <t>"Rewitalizacja społeczna, przestrzenno-funkcjonalna, środowiskowa i techniczna Miasta Czempinia poprzez utworzenie Centrum Aktywizacji Społecznej, zielonej enklawy miasta, ogólnodostępnych stref rekreacji, ciagów komunikacyjnych oraz budowę monitoringu"                                               Urząd Gminy w Czempiniu</t>
  </si>
  <si>
    <t>75095 par. 605</t>
  </si>
  <si>
    <t>Rozdział 70005</t>
  </si>
  <si>
    <t>Gospodarka gruntami i nieruchomościami</t>
  </si>
  <si>
    <t>2019                -                2021</t>
  </si>
  <si>
    <t>"Uzbrojenie terenu inwestycyjnego w Głuchowie w pobliżu węzła Czempiń na drodze ekspresowej S5"                                               Urząd Gminy w Czempiniu</t>
  </si>
  <si>
    <t>70005 par. 605</t>
  </si>
  <si>
    <t>Rozdział 60016</t>
  </si>
  <si>
    <t>Drogi publiczne gminne</t>
  </si>
  <si>
    <t>"Przebudowa drogi w Piechaninie  nr 576087P"                                               Urząd Gminy w Czempiniu</t>
  </si>
  <si>
    <t>60016 par. 605</t>
  </si>
  <si>
    <t>Załącznik nr 5</t>
  </si>
  <si>
    <t>80101 par. 424</t>
  </si>
  <si>
    <t>80101 par. 470</t>
  </si>
  <si>
    <t>ue</t>
  </si>
  <si>
    <t>BP</t>
  </si>
  <si>
    <t>wł</t>
  </si>
  <si>
    <t>do uchwały nr  XVIII/132/20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</si>
</sst>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"/>
    <numFmt numFmtId="167" formatCode="#,##0.000"/>
    <numFmt numFmtId="168" formatCode="_-* #,##0\ _z_ł_-;\-* #,##0\ _z_ł_-;_-* &quot;-&quot;??\ _z_ł_-;_-@_-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</numFmts>
  <fonts count="52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sz val="8"/>
      <color indexed="8"/>
      <name val="Arial"/>
      <family val="2"/>
    </font>
    <font>
      <b/>
      <sz val="9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b/>
      <sz val="8"/>
      <name val="Times New Roman"/>
      <family val="1"/>
    </font>
    <font>
      <sz val="9"/>
      <name val="Arial CE"/>
      <family val="0"/>
    </font>
    <font>
      <b/>
      <sz val="14"/>
      <name val="Arial CE"/>
      <family val="0"/>
    </font>
    <font>
      <b/>
      <sz val="9"/>
      <name val="Arial CE"/>
      <family val="0"/>
    </font>
    <font>
      <b/>
      <i/>
      <sz val="9"/>
      <name val="Arial CE"/>
      <family val="0"/>
    </font>
    <font>
      <sz val="7"/>
      <name val="Arial CE"/>
      <family val="0"/>
    </font>
    <font>
      <b/>
      <sz val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/>
      <right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" fillId="0" borderId="0" applyNumberFormat="0" applyFill="0" applyBorder="0" applyAlignment="0" applyProtection="0"/>
    <xf numFmtId="0" fontId="45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74">
    <xf numFmtId="0" fontId="0" fillId="0" borderId="0" xfId="0" applyAlignment="1">
      <alignment/>
    </xf>
    <xf numFmtId="0" fontId="3" fillId="0" borderId="0" xfId="0" applyFont="1" applyFill="1" applyAlignment="1">
      <alignment/>
    </xf>
    <xf numFmtId="4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/>
    </xf>
    <xf numFmtId="4" fontId="6" fillId="0" borderId="0" xfId="0" applyNumberFormat="1" applyFont="1" applyFill="1" applyAlignment="1">
      <alignment horizont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vertical="center" wrapText="1"/>
    </xf>
    <xf numFmtId="4" fontId="6" fillId="0" borderId="12" xfId="0" applyNumberFormat="1" applyFont="1" applyFill="1" applyBorder="1" applyAlignment="1">
      <alignment horizontal="center" vertical="center" wrapText="1" shrinkToFit="1"/>
    </xf>
    <xf numFmtId="0" fontId="6" fillId="0" borderId="12" xfId="0" applyFont="1" applyFill="1" applyBorder="1" applyAlignment="1">
      <alignment horizontal="center" vertical="center" wrapText="1"/>
    </xf>
    <xf numFmtId="4" fontId="6" fillId="0" borderId="12" xfId="0" applyNumberFormat="1" applyFont="1" applyFill="1" applyBorder="1" applyAlignment="1">
      <alignment horizontal="right" vertical="center"/>
    </xf>
    <xf numFmtId="0" fontId="6" fillId="0" borderId="12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left" vertical="center" wrapText="1"/>
    </xf>
    <xf numFmtId="4" fontId="6" fillId="0" borderId="10" xfId="0" applyNumberFormat="1" applyFont="1" applyFill="1" applyBorder="1" applyAlignment="1">
      <alignment horizontal="center" vertical="center" wrapText="1" shrinkToFit="1"/>
    </xf>
    <xf numFmtId="4" fontId="6" fillId="0" borderId="10" xfId="0" applyNumberFormat="1" applyFont="1" applyFill="1" applyBorder="1" applyAlignment="1">
      <alignment horizontal="right" vertical="center"/>
    </xf>
    <xf numFmtId="0" fontId="6" fillId="0" borderId="11" xfId="0" applyFont="1" applyFill="1" applyBorder="1" applyAlignment="1">
      <alignment horizontal="left" vertical="top" wrapText="1"/>
    </xf>
    <xf numFmtId="4" fontId="6" fillId="0" borderId="11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4" fontId="6" fillId="0" borderId="11" xfId="44" applyNumberFormat="1" applyFont="1" applyFill="1" applyBorder="1" applyAlignment="1">
      <alignment vertical="center"/>
    </xf>
    <xf numFmtId="0" fontId="6" fillId="0" borderId="13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left" vertical="top" wrapText="1"/>
    </xf>
    <xf numFmtId="4" fontId="6" fillId="0" borderId="10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center" vertical="center"/>
    </xf>
    <xf numFmtId="4" fontId="6" fillId="0" borderId="13" xfId="0" applyNumberFormat="1" applyFont="1" applyFill="1" applyBorder="1" applyAlignment="1">
      <alignment horizontal="right" vertical="center"/>
    </xf>
    <xf numFmtId="4" fontId="6" fillId="0" borderId="13" xfId="0" applyNumberFormat="1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4" fontId="6" fillId="0" borderId="11" xfId="0" applyNumberFormat="1" applyFont="1" applyFill="1" applyBorder="1" applyAlignment="1">
      <alignment horizontal="right" vertical="center"/>
    </xf>
    <xf numFmtId="0" fontId="6" fillId="0" borderId="11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vertical="top" wrapText="1"/>
    </xf>
    <xf numFmtId="0" fontId="6" fillId="0" borderId="11" xfId="0" applyFont="1" applyFill="1" applyBorder="1" applyAlignment="1">
      <alignment vertical="top"/>
    </xf>
    <xf numFmtId="0" fontId="6" fillId="0" borderId="10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4" fontId="6" fillId="0" borderId="13" xfId="0" applyNumberFormat="1" applyFont="1" applyFill="1" applyBorder="1" applyAlignment="1">
      <alignment horizontal="left" vertical="center"/>
    </xf>
    <xf numFmtId="0" fontId="6" fillId="0" borderId="14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4" fontId="6" fillId="0" borderId="13" xfId="0" applyNumberFormat="1" applyFont="1" applyFill="1" applyBorder="1" applyAlignment="1">
      <alignment horizontal="right" wrapText="1"/>
    </xf>
    <xf numFmtId="4" fontId="6" fillId="0" borderId="13" xfId="0" applyNumberFormat="1" applyFont="1" applyFill="1" applyBorder="1" applyAlignment="1">
      <alignment horizontal="right" vertical="center" wrapText="1"/>
    </xf>
    <xf numFmtId="4" fontId="6" fillId="0" borderId="11" xfId="0" applyNumberFormat="1" applyFont="1" applyFill="1" applyBorder="1" applyAlignment="1">
      <alignment horizontal="right" vertical="center" wrapText="1"/>
    </xf>
    <xf numFmtId="0" fontId="6" fillId="0" borderId="10" xfId="0" applyFont="1" applyFill="1" applyBorder="1" applyAlignment="1">
      <alignment vertical="top"/>
    </xf>
    <xf numFmtId="49" fontId="7" fillId="0" borderId="10" xfId="55" applyNumberFormat="1" applyFont="1" applyFill="1" applyBorder="1" applyAlignment="1" applyProtection="1">
      <alignment horizontal="justify" vertical="center" wrapText="1"/>
      <protection/>
    </xf>
    <xf numFmtId="49" fontId="7" fillId="33" borderId="10" xfId="55" applyNumberFormat="1" applyFont="1" applyFill="1" applyBorder="1" applyAlignment="1" applyProtection="1">
      <alignment horizontal="justify" wrapText="1"/>
      <protection/>
    </xf>
    <xf numFmtId="4" fontId="6" fillId="0" borderId="10" xfId="44" applyNumberFormat="1" applyFont="1" applyFill="1" applyBorder="1" applyAlignment="1">
      <alignment vertical="center"/>
    </xf>
    <xf numFmtId="0" fontId="6" fillId="0" borderId="10" xfId="0" applyFont="1" applyFill="1" applyBorder="1" applyAlignment="1">
      <alignment vertical="center" wrapText="1"/>
    </xf>
    <xf numFmtId="3" fontId="3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3" fontId="6" fillId="0" borderId="0" xfId="0" applyNumberFormat="1" applyFont="1" applyFill="1" applyAlignment="1">
      <alignment/>
    </xf>
    <xf numFmtId="0" fontId="8" fillId="0" borderId="10" xfId="0" applyFont="1" applyFill="1" applyBorder="1" applyAlignment="1">
      <alignment/>
    </xf>
    <xf numFmtId="4" fontId="8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4" fontId="6" fillId="0" borderId="0" xfId="0" applyNumberFormat="1" applyFont="1" applyFill="1" applyAlignment="1">
      <alignment/>
    </xf>
    <xf numFmtId="4" fontId="3" fillId="0" borderId="0" xfId="0" applyNumberFormat="1" applyFont="1" applyFill="1" applyAlignment="1">
      <alignment horizontal="right"/>
    </xf>
    <xf numFmtId="0" fontId="51" fillId="0" borderId="0" xfId="0" applyFont="1" applyAlignment="1">
      <alignment vertical="center" wrapText="1"/>
    </xf>
    <xf numFmtId="0" fontId="6" fillId="0" borderId="12" xfId="0" applyFont="1" applyFill="1" applyBorder="1" applyAlignment="1">
      <alignment vertical="center"/>
    </xf>
    <xf numFmtId="0" fontId="51" fillId="0" borderId="15" xfId="0" applyFont="1" applyBorder="1" applyAlignment="1">
      <alignment vertical="center" wrapText="1"/>
    </xf>
    <xf numFmtId="0" fontId="9" fillId="0" borderId="0" xfId="0" applyFont="1" applyAlignment="1">
      <alignment/>
    </xf>
    <xf numFmtId="0" fontId="3" fillId="0" borderId="0" xfId="0" applyFont="1" applyAlignment="1">
      <alignment/>
    </xf>
    <xf numFmtId="4" fontId="9" fillId="0" borderId="0" xfId="0" applyNumberFormat="1" applyFont="1" applyFill="1" applyAlignment="1">
      <alignment horizontal="right" vertical="center"/>
    </xf>
    <xf numFmtId="0" fontId="10" fillId="0" borderId="0" xfId="0" applyFont="1" applyAlignment="1">
      <alignment/>
    </xf>
    <xf numFmtId="4" fontId="11" fillId="0" borderId="0" xfId="0" applyNumberFormat="1" applyFont="1" applyFill="1" applyAlignment="1">
      <alignment horizontal="right" vertical="center"/>
    </xf>
    <xf numFmtId="0" fontId="11" fillId="0" borderId="0" xfId="0" applyFont="1" applyAlignment="1">
      <alignment/>
    </xf>
    <xf numFmtId="0" fontId="11" fillId="0" borderId="0" xfId="0" applyFont="1" applyAlignment="1">
      <alignment vertical="center"/>
    </xf>
    <xf numFmtId="0" fontId="12" fillId="0" borderId="0" xfId="0" applyFont="1" applyAlignment="1">
      <alignment/>
    </xf>
    <xf numFmtId="0" fontId="12" fillId="0" borderId="0" xfId="0" applyFont="1" applyAlignment="1">
      <alignment horizontal="left" wrapText="1"/>
    </xf>
    <xf numFmtId="4" fontId="12" fillId="0" borderId="0" xfId="0" applyNumberFormat="1" applyFont="1" applyFill="1" applyAlignment="1">
      <alignment horizontal="right" vertical="center"/>
    </xf>
    <xf numFmtId="0" fontId="9" fillId="0" borderId="0" xfId="0" applyFont="1" applyAlignment="1" quotePrefix="1">
      <alignment wrapText="1"/>
    </xf>
    <xf numFmtId="3" fontId="12" fillId="0" borderId="0" xfId="0" applyNumberFormat="1" applyFont="1" applyFill="1" applyAlignment="1">
      <alignment horizontal="right" vertical="center"/>
    </xf>
    <xf numFmtId="3" fontId="11" fillId="0" borderId="0" xfId="0" applyNumberFormat="1" applyFont="1" applyFill="1" applyAlignment="1">
      <alignment horizontal="right" vertical="center"/>
    </xf>
    <xf numFmtId="49" fontId="11" fillId="0" borderId="0" xfId="0" applyNumberFormat="1" applyFont="1" applyAlignment="1">
      <alignment horizontal="left" vertical="top" wrapText="1"/>
    </xf>
    <xf numFmtId="49" fontId="12" fillId="0" borderId="0" xfId="0" applyNumberFormat="1" applyFont="1" applyAlignment="1">
      <alignment horizontal="left" vertical="top" wrapTex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wrapText="1"/>
    </xf>
    <xf numFmtId="0" fontId="12" fillId="0" borderId="0" xfId="0" applyFont="1" applyAlignment="1">
      <alignment vertical="center"/>
    </xf>
    <xf numFmtId="0" fontId="0" fillId="0" borderId="0" xfId="55" applyFill="1">
      <alignment/>
      <protection/>
    </xf>
    <xf numFmtId="0" fontId="9" fillId="0" borderId="0" xfId="55" applyFont="1" applyFill="1">
      <alignment/>
      <protection/>
    </xf>
    <xf numFmtId="0" fontId="0" fillId="0" borderId="16" xfId="55" applyFill="1" applyBorder="1" applyAlignment="1">
      <alignment horizontal="center" vertical="center"/>
      <protection/>
    </xf>
    <xf numFmtId="0" fontId="9" fillId="0" borderId="17" xfId="55" applyFont="1" applyFill="1" applyBorder="1" applyAlignment="1">
      <alignment horizontal="center" vertical="center" wrapText="1"/>
      <protection/>
    </xf>
    <xf numFmtId="0" fontId="0" fillId="0" borderId="17" xfId="55" applyFill="1" applyBorder="1" applyAlignment="1">
      <alignment horizontal="center" vertical="center"/>
      <protection/>
    </xf>
    <xf numFmtId="0" fontId="9" fillId="0" borderId="17" xfId="55" applyFont="1" applyFill="1" applyBorder="1" applyAlignment="1">
      <alignment horizontal="center" vertical="center"/>
      <protection/>
    </xf>
    <xf numFmtId="0" fontId="9" fillId="0" borderId="14" xfId="55" applyFont="1" applyFill="1" applyBorder="1" applyAlignment="1">
      <alignment horizontal="center" vertical="center"/>
      <protection/>
    </xf>
    <xf numFmtId="0" fontId="9" fillId="0" borderId="10" xfId="55" applyFont="1" applyFill="1" applyBorder="1">
      <alignment/>
      <protection/>
    </xf>
    <xf numFmtId="0" fontId="0" fillId="0" borderId="10" xfId="55" applyFill="1" applyBorder="1">
      <alignment/>
      <protection/>
    </xf>
    <xf numFmtId="0" fontId="9" fillId="0" borderId="10" xfId="55" applyFont="1" applyFill="1" applyBorder="1" applyAlignment="1">
      <alignment horizontal="center" vertical="center" wrapText="1"/>
      <protection/>
    </xf>
    <xf numFmtId="4" fontId="0" fillId="0" borderId="0" xfId="0" applyNumberFormat="1" applyAlignment="1">
      <alignment/>
    </xf>
    <xf numFmtId="4" fontId="3" fillId="0" borderId="10" xfId="55" applyNumberFormat="1" applyFont="1" applyFill="1" applyBorder="1" applyAlignment="1">
      <alignment horizontal="center" vertical="center"/>
      <protection/>
    </xf>
    <xf numFmtId="0" fontId="0" fillId="0" borderId="0" xfId="55" applyFill="1" applyBorder="1" applyAlignment="1">
      <alignment horizontal="center" vertical="center"/>
      <protection/>
    </xf>
    <xf numFmtId="0" fontId="3" fillId="0" borderId="0" xfId="55" applyFont="1" applyFill="1" applyBorder="1" applyAlignment="1">
      <alignment horizontal="center" vertical="center" wrapText="1"/>
      <protection/>
    </xf>
    <xf numFmtId="0" fontId="0" fillId="0" borderId="0" xfId="55" applyFill="1" applyBorder="1" applyAlignment="1">
      <alignment horizontal="center" vertical="center" wrapText="1"/>
      <protection/>
    </xf>
    <xf numFmtId="4" fontId="3" fillId="0" borderId="0" xfId="55" applyNumberFormat="1" applyFont="1" applyFill="1" applyBorder="1" applyAlignment="1">
      <alignment horizontal="center" vertical="center"/>
      <protection/>
    </xf>
    <xf numFmtId="0" fontId="9" fillId="0" borderId="10" xfId="55" applyFont="1" applyFill="1" applyBorder="1" applyAlignment="1">
      <alignment horizontal="center"/>
      <protection/>
    </xf>
    <xf numFmtId="4" fontId="0" fillId="0" borderId="0" xfId="55" applyNumberFormat="1" applyFill="1">
      <alignment/>
      <protection/>
    </xf>
    <xf numFmtId="0" fontId="9" fillId="0" borderId="10" xfId="55" applyFont="1" applyFill="1" applyBorder="1" applyAlignment="1">
      <alignment horizontal="center" wrapText="1"/>
      <protection/>
    </xf>
    <xf numFmtId="4" fontId="3" fillId="0" borderId="10" xfId="55" applyNumberFormat="1" applyFont="1" applyFill="1" applyBorder="1" applyAlignment="1">
      <alignment vertical="center"/>
      <protection/>
    </xf>
    <xf numFmtId="0" fontId="0" fillId="0" borderId="0" xfId="55">
      <alignment/>
      <protection/>
    </xf>
    <xf numFmtId="4" fontId="0" fillId="0" borderId="0" xfId="55" applyNumberFormat="1">
      <alignment/>
      <protection/>
    </xf>
    <xf numFmtId="0" fontId="3" fillId="0" borderId="10" xfId="55" applyFont="1" applyFill="1" applyBorder="1" applyAlignment="1">
      <alignment horizontal="center" wrapText="1"/>
      <protection/>
    </xf>
    <xf numFmtId="4" fontId="3" fillId="0" borderId="10" xfId="55" applyNumberFormat="1" applyFont="1" applyFill="1" applyBorder="1">
      <alignment/>
      <protection/>
    </xf>
    <xf numFmtId="0" fontId="9" fillId="0" borderId="10" xfId="55" applyFont="1" applyFill="1" applyBorder="1" applyAlignment="1">
      <alignment wrapText="1"/>
      <protection/>
    </xf>
    <xf numFmtId="4" fontId="0" fillId="0" borderId="10" xfId="0" applyNumberFormat="1" applyBorder="1" applyAlignment="1">
      <alignment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left" vertical="top" wrapText="1"/>
    </xf>
    <xf numFmtId="0" fontId="6" fillId="0" borderId="13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left" vertical="top" wrapText="1"/>
    </xf>
    <xf numFmtId="4" fontId="6" fillId="0" borderId="12" xfId="0" applyNumberFormat="1" applyFont="1" applyFill="1" applyBorder="1" applyAlignment="1">
      <alignment horizontal="center" vertical="center"/>
    </xf>
    <xf numFmtId="4" fontId="6" fillId="0" borderId="13" xfId="0" applyNumberFormat="1" applyFont="1" applyFill="1" applyBorder="1" applyAlignment="1">
      <alignment horizontal="center" vertical="center"/>
    </xf>
    <xf numFmtId="4" fontId="6" fillId="0" borderId="11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4" fontId="6" fillId="0" borderId="10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4" fontId="6" fillId="0" borderId="12" xfId="0" applyNumberFormat="1" applyFont="1" applyFill="1" applyBorder="1" applyAlignment="1">
      <alignment horizontal="center" vertical="center" wrapText="1" shrinkToFit="1"/>
    </xf>
    <xf numFmtId="4" fontId="6" fillId="0" borderId="13" xfId="0" applyNumberFormat="1" applyFont="1" applyFill="1" applyBorder="1" applyAlignment="1">
      <alignment horizontal="center" vertical="center" wrapText="1" shrinkToFit="1"/>
    </xf>
    <xf numFmtId="4" fontId="6" fillId="0" borderId="11" xfId="0" applyNumberFormat="1" applyFont="1" applyFill="1" applyBorder="1" applyAlignment="1">
      <alignment horizontal="center" vertical="center" wrapText="1" shrinkToFit="1"/>
    </xf>
    <xf numFmtId="0" fontId="5" fillId="0" borderId="0" xfId="0" applyFont="1" applyFill="1" applyAlignment="1">
      <alignment horizontal="center"/>
    </xf>
    <xf numFmtId="0" fontId="6" fillId="0" borderId="10" xfId="0" applyFont="1" applyFill="1" applyBorder="1" applyAlignment="1">
      <alignment horizontal="center" vertical="center" wrapText="1" shrinkToFit="1"/>
    </xf>
    <xf numFmtId="0" fontId="6" fillId="0" borderId="10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wrapText="1"/>
    </xf>
    <xf numFmtId="0" fontId="9" fillId="0" borderId="0" xfId="0" applyFont="1" applyAlignment="1" quotePrefix="1">
      <alignment wrapText="1"/>
    </xf>
    <xf numFmtId="4" fontId="9" fillId="0" borderId="0" xfId="0" applyNumberFormat="1" applyFont="1" applyFill="1" applyAlignment="1">
      <alignment horizontal="right" vertical="center"/>
    </xf>
    <xf numFmtId="0" fontId="11" fillId="0" borderId="0" xfId="0" applyFont="1" applyAlignment="1" quotePrefix="1">
      <alignment horizontal="left" vertical="center" wrapText="1"/>
    </xf>
    <xf numFmtId="0" fontId="11" fillId="0" borderId="0" xfId="0" applyFont="1" applyAlignment="1">
      <alignment/>
    </xf>
    <xf numFmtId="4" fontId="14" fillId="0" borderId="12" xfId="55" applyNumberFormat="1" applyFont="1" applyFill="1" applyBorder="1" applyAlignment="1">
      <alignment horizontal="center" vertical="center"/>
      <protection/>
    </xf>
    <xf numFmtId="4" fontId="14" fillId="0" borderId="13" xfId="55" applyNumberFormat="1" applyFont="1" applyFill="1" applyBorder="1" applyAlignment="1">
      <alignment horizontal="center" vertical="center"/>
      <protection/>
    </xf>
    <xf numFmtId="0" fontId="3" fillId="0" borderId="18" xfId="55" applyFont="1" applyFill="1" applyBorder="1" applyAlignment="1">
      <alignment horizontal="center" vertical="center" wrapText="1"/>
      <protection/>
    </xf>
    <xf numFmtId="0" fontId="3" fillId="0" borderId="19" xfId="55" applyFont="1" applyFill="1" applyBorder="1" applyAlignment="1">
      <alignment horizontal="center" vertical="center" wrapText="1"/>
      <protection/>
    </xf>
    <xf numFmtId="0" fontId="3" fillId="0" borderId="20" xfId="55" applyFont="1" applyFill="1" applyBorder="1" applyAlignment="1">
      <alignment horizontal="center" vertical="center" wrapText="1"/>
      <protection/>
    </xf>
    <xf numFmtId="0" fontId="3" fillId="0" borderId="21" xfId="55" applyFont="1" applyFill="1" applyBorder="1" applyAlignment="1">
      <alignment horizontal="center" vertical="center" wrapText="1"/>
      <protection/>
    </xf>
    <xf numFmtId="0" fontId="3" fillId="0" borderId="16" xfId="55" applyFont="1" applyFill="1" applyBorder="1" applyAlignment="1">
      <alignment horizontal="center" vertical="center" wrapText="1"/>
      <protection/>
    </xf>
    <xf numFmtId="0" fontId="3" fillId="0" borderId="14" xfId="55" applyFont="1" applyFill="1" applyBorder="1" applyAlignment="1">
      <alignment horizontal="center" vertical="center" wrapText="1"/>
      <protection/>
    </xf>
    <xf numFmtId="0" fontId="0" fillId="0" borderId="10" xfId="55" applyFont="1" applyFill="1" applyBorder="1" applyAlignment="1">
      <alignment horizontal="center" vertical="center"/>
      <protection/>
    </xf>
    <xf numFmtId="0" fontId="3" fillId="0" borderId="10" xfId="55" applyFont="1" applyFill="1" applyBorder="1" applyAlignment="1">
      <alignment horizontal="center" vertical="center" wrapText="1"/>
      <protection/>
    </xf>
    <xf numFmtId="0" fontId="0" fillId="0" borderId="10" xfId="55" applyFont="1" applyFill="1" applyBorder="1" applyAlignment="1">
      <alignment horizontal="center" vertical="center" wrapText="1"/>
      <protection/>
    </xf>
    <xf numFmtId="0" fontId="0" fillId="0" borderId="12" xfId="55" applyFont="1" applyFill="1" applyBorder="1" applyAlignment="1">
      <alignment horizontal="center" vertical="center"/>
      <protection/>
    </xf>
    <xf numFmtId="0" fontId="0" fillId="0" borderId="13" xfId="55" applyFill="1" applyBorder="1" applyAlignment="1">
      <alignment horizontal="center" vertical="center"/>
      <protection/>
    </xf>
    <xf numFmtId="0" fontId="0" fillId="0" borderId="11" xfId="55" applyFill="1" applyBorder="1" applyAlignment="1">
      <alignment horizontal="center" vertical="center"/>
      <protection/>
    </xf>
    <xf numFmtId="0" fontId="0" fillId="0" borderId="12" xfId="55" applyFont="1" applyFill="1" applyBorder="1" applyAlignment="1">
      <alignment horizontal="center" vertical="center" wrapText="1"/>
      <protection/>
    </xf>
    <xf numFmtId="0" fontId="0" fillId="0" borderId="13" xfId="55" applyFill="1" applyBorder="1" applyAlignment="1">
      <alignment horizontal="center" vertical="center" wrapText="1"/>
      <protection/>
    </xf>
    <xf numFmtId="0" fontId="0" fillId="0" borderId="11" xfId="55" applyFill="1" applyBorder="1" applyAlignment="1">
      <alignment horizontal="center" vertical="center" wrapText="1"/>
      <protection/>
    </xf>
    <xf numFmtId="4" fontId="14" fillId="0" borderId="12" xfId="55" applyNumberFormat="1" applyFont="1" applyFill="1" applyBorder="1" applyAlignment="1">
      <alignment horizontal="center" vertical="center" wrapText="1"/>
      <protection/>
    </xf>
    <xf numFmtId="4" fontId="0" fillId="0" borderId="10" xfId="0" applyNumberFormat="1" applyBorder="1" applyAlignment="1">
      <alignment horizontal="center" vertical="center"/>
    </xf>
    <xf numFmtId="4" fontId="14" fillId="0" borderId="11" xfId="55" applyNumberFormat="1" applyFont="1" applyFill="1" applyBorder="1" applyAlignment="1">
      <alignment horizontal="center" vertical="center" wrapText="1"/>
      <protection/>
    </xf>
    <xf numFmtId="0" fontId="13" fillId="0" borderId="11" xfId="55" applyFont="1" applyFill="1" applyBorder="1" applyAlignment="1">
      <alignment horizontal="center" vertical="center" wrapText="1"/>
      <protection/>
    </xf>
    <xf numFmtId="0" fontId="13" fillId="0" borderId="10" xfId="55" applyFont="1" applyFill="1" applyBorder="1" applyAlignment="1">
      <alignment horizontal="center" vertical="center" wrapText="1"/>
      <protection/>
    </xf>
    <xf numFmtId="0" fontId="0" fillId="0" borderId="22" xfId="55" applyFill="1" applyBorder="1" applyAlignment="1">
      <alignment horizontal="center" wrapText="1"/>
      <protection/>
    </xf>
    <xf numFmtId="0" fontId="0" fillId="0" borderId="23" xfId="55" applyFill="1" applyBorder="1" applyAlignment="1">
      <alignment horizontal="center" wrapText="1"/>
      <protection/>
    </xf>
    <xf numFmtId="0" fontId="0" fillId="0" borderId="0" xfId="55" applyFont="1" applyFill="1" applyAlignment="1">
      <alignment horizontal="center" wrapText="1"/>
      <protection/>
    </xf>
    <xf numFmtId="0" fontId="0" fillId="0" borderId="0" xfId="55" applyFill="1" applyAlignment="1">
      <alignment horizontal="center" wrapText="1"/>
      <protection/>
    </xf>
    <xf numFmtId="0" fontId="0" fillId="0" borderId="10" xfId="55" applyFill="1" applyBorder="1" applyAlignment="1">
      <alignment horizontal="center" vertical="center"/>
      <protection/>
    </xf>
    <xf numFmtId="0" fontId="9" fillId="0" borderId="12" xfId="55" applyFont="1" applyFill="1" applyBorder="1" applyAlignment="1">
      <alignment horizontal="center" vertical="center"/>
      <protection/>
    </xf>
    <xf numFmtId="0" fontId="9" fillId="0" borderId="13" xfId="55" applyFont="1" applyFill="1" applyBorder="1" applyAlignment="1">
      <alignment horizontal="center" vertical="center"/>
      <protection/>
    </xf>
    <xf numFmtId="0" fontId="9" fillId="0" borderId="24" xfId="55" applyFont="1" applyFill="1" applyBorder="1" applyAlignment="1">
      <alignment horizontal="center" vertical="center"/>
      <protection/>
    </xf>
    <xf numFmtId="0" fontId="9" fillId="0" borderId="12" xfId="55" applyFont="1" applyFill="1" applyBorder="1" applyAlignment="1">
      <alignment horizontal="center" vertical="center" wrapText="1"/>
      <protection/>
    </xf>
    <xf numFmtId="0" fontId="9" fillId="0" borderId="13" xfId="55" applyFont="1" applyFill="1" applyBorder="1" applyAlignment="1">
      <alignment horizontal="center" vertical="center" wrapText="1"/>
      <protection/>
    </xf>
    <xf numFmtId="0" fontId="9" fillId="0" borderId="24" xfId="55" applyFont="1" applyFill="1" applyBorder="1" applyAlignment="1">
      <alignment horizontal="center" vertical="center" wrapText="1"/>
      <protection/>
    </xf>
    <xf numFmtId="0" fontId="13" fillId="0" borderId="10" xfId="55" applyFont="1" applyFill="1" applyBorder="1" applyAlignment="1">
      <alignment horizontal="center" vertical="center" textRotation="90" wrapText="1"/>
      <protection/>
    </xf>
    <xf numFmtId="0" fontId="13" fillId="0" borderId="12" xfId="55" applyFont="1" applyFill="1" applyBorder="1" applyAlignment="1">
      <alignment horizontal="center" vertical="center" textRotation="90" wrapText="1"/>
      <protection/>
    </xf>
    <xf numFmtId="0" fontId="13" fillId="0" borderId="13" xfId="55" applyFont="1" applyFill="1" applyBorder="1" applyAlignment="1">
      <alignment horizontal="center" vertical="center" textRotation="90" wrapText="1"/>
      <protection/>
    </xf>
    <xf numFmtId="0" fontId="13" fillId="0" borderId="11" xfId="55" applyFont="1" applyFill="1" applyBorder="1" applyAlignment="1">
      <alignment horizontal="center" vertical="center" textRotation="90" wrapText="1"/>
      <protection/>
    </xf>
    <xf numFmtId="0" fontId="13" fillId="0" borderId="13" xfId="55" applyFont="1" applyFill="1" applyBorder="1" applyAlignment="1">
      <alignment horizontal="center" vertical="center"/>
      <protection/>
    </xf>
    <xf numFmtId="0" fontId="13" fillId="0" borderId="11" xfId="55" applyFont="1" applyFill="1" applyBorder="1" applyAlignment="1">
      <alignment horizontal="center" vertical="center"/>
      <protection/>
    </xf>
    <xf numFmtId="0" fontId="13" fillId="0" borderId="13" xfId="55" applyFont="1" applyFill="1" applyBorder="1" applyAlignment="1">
      <alignment horizontal="center" vertical="center" wrapText="1"/>
      <protection/>
    </xf>
  </cellXfs>
  <cellStyles count="56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2 2" xfId="45"/>
    <cellStyle name="Dziesiętny 2 3" xfId="46"/>
    <cellStyle name="Hyperlink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y" xfId="54"/>
    <cellStyle name="Normalny 2" xfId="55"/>
    <cellStyle name="Normalny 3" xfId="56"/>
    <cellStyle name="Normalny 4" xfId="57"/>
    <cellStyle name="Normalny 5" xfId="58"/>
    <cellStyle name="Obliczenia" xfId="59"/>
    <cellStyle name="Followed Hyperlink" xfId="60"/>
    <cellStyle name="Percent" xfId="61"/>
    <cellStyle name="Suma" xfId="62"/>
    <cellStyle name="Tekst objaśnienia" xfId="63"/>
    <cellStyle name="Tekst ostrzeżenia" xfId="64"/>
    <cellStyle name="Tytuł" xfId="65"/>
    <cellStyle name="Uwaga" xfId="66"/>
    <cellStyle name="Currency" xfId="67"/>
    <cellStyle name="Currency [0]" xfId="68"/>
    <cellStyle name="Zły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K65"/>
  <sheetViews>
    <sheetView zoomScalePageLayoutView="0" workbookViewId="0" topLeftCell="A21">
      <selection activeCell="F2" sqref="F2"/>
    </sheetView>
  </sheetViews>
  <sheetFormatPr defaultColWidth="9.00390625" defaultRowHeight="12.75"/>
  <cols>
    <col min="1" max="1" width="3.875" style="3" customWidth="1"/>
    <col min="2" max="2" width="48.125" style="1" customWidth="1"/>
    <col min="3" max="3" width="13.00390625" style="1" customWidth="1"/>
    <col min="4" max="4" width="9.625" style="1" customWidth="1"/>
    <col min="5" max="5" width="13.75390625" style="1" customWidth="1"/>
    <col min="6" max="6" width="13.375" style="2" customWidth="1"/>
    <col min="7" max="7" width="19.625" style="1" customWidth="1"/>
    <col min="8" max="8" width="13.625" style="1" hidden="1" customWidth="1"/>
    <col min="9" max="9" width="9.125" style="1" customWidth="1"/>
    <col min="10" max="10" width="10.875" style="1" hidden="1" customWidth="1"/>
    <col min="11" max="11" width="10.00390625" style="1" bestFit="1" customWidth="1"/>
    <col min="12" max="16384" width="9.125" style="1" customWidth="1"/>
  </cols>
  <sheetData>
    <row r="1" spans="4:6" ht="12.75">
      <c r="D1" s="4"/>
      <c r="F1" s="2" t="s">
        <v>79</v>
      </c>
    </row>
    <row r="2" spans="4:6" ht="12.75">
      <c r="D2" s="4"/>
      <c r="F2" s="2" t="s">
        <v>150</v>
      </c>
    </row>
    <row r="3" spans="4:6" ht="12.75">
      <c r="D3" s="4"/>
      <c r="F3" s="2" t="s">
        <v>1</v>
      </c>
    </row>
    <row r="4" spans="4:6" ht="12" customHeight="1">
      <c r="D4" s="4"/>
      <c r="F4" s="2" t="s">
        <v>81</v>
      </c>
    </row>
    <row r="5" ht="5.25" customHeight="1"/>
    <row r="6" spans="1:7" ht="5.25" customHeight="1">
      <c r="A6" s="126" t="s">
        <v>9</v>
      </c>
      <c r="B6" s="126"/>
      <c r="C6" s="126"/>
      <c r="D6" s="126"/>
      <c r="E6" s="126"/>
      <c r="F6" s="126"/>
      <c r="G6" s="126"/>
    </row>
    <row r="7" spans="1:7" ht="9.75" customHeight="1">
      <c r="A7" s="126"/>
      <c r="B7" s="126"/>
      <c r="C7" s="126"/>
      <c r="D7" s="126"/>
      <c r="E7" s="126"/>
      <c r="F7" s="126"/>
      <c r="G7" s="126"/>
    </row>
    <row r="8" spans="1:7" ht="11.25" customHeight="1">
      <c r="A8" s="5"/>
      <c r="B8" s="6"/>
      <c r="C8" s="6"/>
      <c r="D8" s="6"/>
      <c r="E8" s="6"/>
      <c r="F8" s="7"/>
      <c r="G8" s="6"/>
    </row>
    <row r="9" spans="1:7" ht="11.25">
      <c r="A9" s="114" t="s">
        <v>2</v>
      </c>
      <c r="B9" s="114" t="s">
        <v>0</v>
      </c>
      <c r="C9" s="127" t="s">
        <v>10</v>
      </c>
      <c r="D9" s="128" t="s">
        <v>11</v>
      </c>
      <c r="E9" s="128" t="s">
        <v>12</v>
      </c>
      <c r="F9" s="128" t="s">
        <v>13</v>
      </c>
      <c r="G9" s="128"/>
    </row>
    <row r="10" spans="1:7" ht="9" customHeight="1">
      <c r="A10" s="114"/>
      <c r="B10" s="114"/>
      <c r="C10" s="127"/>
      <c r="D10" s="128"/>
      <c r="E10" s="128"/>
      <c r="F10" s="128"/>
      <c r="G10" s="128"/>
    </row>
    <row r="11" spans="1:7" ht="17.25" customHeight="1">
      <c r="A11" s="114"/>
      <c r="B11" s="114"/>
      <c r="C11" s="127"/>
      <c r="D11" s="128"/>
      <c r="E11" s="128"/>
      <c r="F11" s="10" t="s">
        <v>14</v>
      </c>
      <c r="G11" s="11" t="s">
        <v>15</v>
      </c>
    </row>
    <row r="12" spans="1:7" ht="60.75" customHeight="1">
      <c r="A12" s="12" t="s">
        <v>4</v>
      </c>
      <c r="B12" s="13" t="s">
        <v>16</v>
      </c>
      <c r="C12" s="14">
        <v>400000</v>
      </c>
      <c r="D12" s="15">
        <v>2019</v>
      </c>
      <c r="E12" s="15">
        <v>2020</v>
      </c>
      <c r="F12" s="16">
        <v>400000</v>
      </c>
      <c r="G12" s="17"/>
    </row>
    <row r="13" spans="1:7" ht="47.25" customHeight="1">
      <c r="A13" s="12" t="s">
        <v>7</v>
      </c>
      <c r="B13" s="18" t="s">
        <v>17</v>
      </c>
      <c r="C13" s="19">
        <v>50000</v>
      </c>
      <c r="D13" s="9">
        <v>2019</v>
      </c>
      <c r="E13" s="9">
        <v>2021</v>
      </c>
      <c r="F13" s="20">
        <v>50000</v>
      </c>
      <c r="G13" s="11"/>
    </row>
    <row r="14" spans="1:7" ht="24.75" customHeight="1">
      <c r="A14" s="12" t="s">
        <v>8</v>
      </c>
      <c r="B14" s="21" t="s">
        <v>18</v>
      </c>
      <c r="C14" s="22">
        <v>22000</v>
      </c>
      <c r="D14" s="23" t="s">
        <v>19</v>
      </c>
      <c r="E14" s="23" t="s">
        <v>19</v>
      </c>
      <c r="F14" s="24">
        <v>22000</v>
      </c>
      <c r="G14" s="25"/>
    </row>
    <row r="15" spans="1:11" ht="26.25" customHeight="1">
      <c r="A15" s="8" t="s">
        <v>6</v>
      </c>
      <c r="B15" s="26" t="s">
        <v>20</v>
      </c>
      <c r="C15" s="27">
        <v>9000</v>
      </c>
      <c r="D15" s="8">
        <v>2020</v>
      </c>
      <c r="E15" s="12">
        <v>2020</v>
      </c>
      <c r="F15" s="24">
        <v>9000</v>
      </c>
      <c r="G15" s="17"/>
      <c r="K15" s="2"/>
    </row>
    <row r="16" spans="1:7" ht="30" customHeight="1">
      <c r="A16" s="8" t="s">
        <v>21</v>
      </c>
      <c r="B16" s="28" t="s">
        <v>22</v>
      </c>
      <c r="C16" s="14">
        <v>73800</v>
      </c>
      <c r="D16" s="15">
        <v>2019</v>
      </c>
      <c r="E16" s="15">
        <v>2020</v>
      </c>
      <c r="F16" s="16">
        <v>73800</v>
      </c>
      <c r="G16" s="17"/>
    </row>
    <row r="17" spans="1:7" ht="42.75" customHeight="1" hidden="1">
      <c r="A17" s="8" t="s">
        <v>6</v>
      </c>
      <c r="B17" s="28"/>
      <c r="C17" s="14"/>
      <c r="D17" s="15"/>
      <c r="E17" s="15"/>
      <c r="F17" s="16"/>
      <c r="G17" s="17"/>
    </row>
    <row r="18" spans="1:10" ht="36.75" customHeight="1">
      <c r="A18" s="8" t="s">
        <v>23</v>
      </c>
      <c r="B18" s="28" t="s">
        <v>24</v>
      </c>
      <c r="C18" s="14">
        <v>114000</v>
      </c>
      <c r="D18" s="15">
        <v>2019</v>
      </c>
      <c r="E18" s="15">
        <v>2020</v>
      </c>
      <c r="F18" s="16">
        <v>114000</v>
      </c>
      <c r="G18" s="17"/>
      <c r="J18" s="2">
        <f>SUM(G22,G28,G33,)</f>
        <v>14766895.22</v>
      </c>
    </row>
    <row r="19" spans="1:7" ht="23.25" customHeight="1">
      <c r="A19" s="29" t="s">
        <v>25</v>
      </c>
      <c r="B19" s="28" t="s">
        <v>26</v>
      </c>
      <c r="C19" s="14">
        <v>9402.52</v>
      </c>
      <c r="D19" s="15">
        <v>2020</v>
      </c>
      <c r="E19" s="15">
        <v>2020</v>
      </c>
      <c r="F19" s="16">
        <v>9402.52</v>
      </c>
      <c r="G19" s="29"/>
    </row>
    <row r="20" spans="1:7" ht="5.25" customHeight="1">
      <c r="A20" s="105" t="s">
        <v>27</v>
      </c>
      <c r="B20" s="120" t="s">
        <v>74</v>
      </c>
      <c r="C20" s="123">
        <v>109792.54</v>
      </c>
      <c r="D20" s="117">
        <v>2019</v>
      </c>
      <c r="E20" s="117">
        <v>2021</v>
      </c>
      <c r="F20" s="16"/>
      <c r="G20" s="29"/>
    </row>
    <row r="21" spans="1:7" ht="13.5" customHeight="1">
      <c r="A21" s="106"/>
      <c r="B21" s="121"/>
      <c r="C21" s="124"/>
      <c r="D21" s="118"/>
      <c r="E21" s="118"/>
      <c r="F21" s="30">
        <v>109792.54</v>
      </c>
      <c r="G21" s="25"/>
    </row>
    <row r="22" spans="1:7" ht="13.5" customHeight="1">
      <c r="A22" s="106"/>
      <c r="B22" s="121"/>
      <c r="C22" s="124"/>
      <c r="D22" s="118"/>
      <c r="E22" s="118"/>
      <c r="F22" s="30" t="s">
        <v>3</v>
      </c>
      <c r="G22" s="31">
        <v>66257</v>
      </c>
    </row>
    <row r="23" spans="1:7" ht="12" customHeight="1">
      <c r="A23" s="107"/>
      <c r="B23" s="122"/>
      <c r="C23" s="125"/>
      <c r="D23" s="119"/>
      <c r="E23" s="119"/>
      <c r="F23" s="33"/>
      <c r="G23" s="34" t="s">
        <v>28</v>
      </c>
    </row>
    <row r="24" spans="1:7" ht="38.25" customHeight="1">
      <c r="A24" s="12" t="s">
        <v>29</v>
      </c>
      <c r="B24" s="35" t="s">
        <v>30</v>
      </c>
      <c r="C24" s="22">
        <v>131500</v>
      </c>
      <c r="D24" s="12">
        <v>2017</v>
      </c>
      <c r="E24" s="12">
        <v>2020</v>
      </c>
      <c r="F24" s="33">
        <v>131500</v>
      </c>
      <c r="G24" s="36"/>
    </row>
    <row r="25" spans="1:7" ht="31.5" customHeight="1">
      <c r="A25" s="8" t="s">
        <v>31</v>
      </c>
      <c r="B25" s="18" t="s">
        <v>32</v>
      </c>
      <c r="C25" s="27">
        <v>10000</v>
      </c>
      <c r="D25" s="8">
        <v>2020</v>
      </c>
      <c r="E25" s="8">
        <v>2020</v>
      </c>
      <c r="F25" s="20">
        <v>10000</v>
      </c>
      <c r="G25" s="37"/>
    </row>
    <row r="26" spans="1:7" ht="54" customHeight="1">
      <c r="A26" s="8" t="s">
        <v>33</v>
      </c>
      <c r="B26" s="18" t="s">
        <v>82</v>
      </c>
      <c r="C26" s="27">
        <v>15000</v>
      </c>
      <c r="D26" s="8">
        <v>2019</v>
      </c>
      <c r="E26" s="8">
        <v>2020</v>
      </c>
      <c r="F26" s="20">
        <v>15000</v>
      </c>
      <c r="G26" s="37"/>
    </row>
    <row r="27" spans="1:7" ht="24" customHeight="1">
      <c r="A27" s="114" t="s">
        <v>35</v>
      </c>
      <c r="B27" s="115" t="s">
        <v>34</v>
      </c>
      <c r="C27" s="116">
        <v>1610113.5</v>
      </c>
      <c r="D27" s="114">
        <v>2019</v>
      </c>
      <c r="E27" s="114">
        <v>2021</v>
      </c>
      <c r="F27" s="16">
        <v>1610113.5</v>
      </c>
      <c r="G27" s="59"/>
    </row>
    <row r="28" spans="1:7" ht="15.75" customHeight="1">
      <c r="A28" s="114"/>
      <c r="B28" s="115"/>
      <c r="C28" s="116"/>
      <c r="D28" s="114"/>
      <c r="E28" s="114"/>
      <c r="F28" s="30" t="s">
        <v>3</v>
      </c>
      <c r="G28" s="39">
        <v>956673.82</v>
      </c>
    </row>
    <row r="29" spans="1:7" ht="12" customHeight="1">
      <c r="A29" s="114"/>
      <c r="B29" s="115"/>
      <c r="C29" s="116"/>
      <c r="D29" s="114"/>
      <c r="E29" s="114"/>
      <c r="F29" s="33"/>
      <c r="G29" s="40" t="s">
        <v>28</v>
      </c>
    </row>
    <row r="30" spans="1:7" ht="25.5" customHeight="1">
      <c r="A30" s="8" t="s">
        <v>37</v>
      </c>
      <c r="B30" s="18" t="s">
        <v>36</v>
      </c>
      <c r="C30" s="27">
        <v>9494.33</v>
      </c>
      <c r="D30" s="8">
        <v>2020</v>
      </c>
      <c r="E30" s="8">
        <v>2020</v>
      </c>
      <c r="F30" s="20">
        <v>9494.33</v>
      </c>
      <c r="G30" s="37"/>
    </row>
    <row r="31" spans="1:7" ht="18.75" customHeight="1">
      <c r="A31" s="12" t="s">
        <v>39</v>
      </c>
      <c r="B31" s="32" t="s">
        <v>38</v>
      </c>
      <c r="C31" s="22">
        <v>100000</v>
      </c>
      <c r="D31" s="12">
        <v>2020</v>
      </c>
      <c r="E31" s="12">
        <v>2020</v>
      </c>
      <c r="F31" s="33">
        <v>100000</v>
      </c>
      <c r="G31" s="41"/>
    </row>
    <row r="32" spans="1:7" ht="21" customHeight="1">
      <c r="A32" s="105" t="s">
        <v>41</v>
      </c>
      <c r="B32" s="108" t="s">
        <v>75</v>
      </c>
      <c r="C32" s="111">
        <v>19085840.03</v>
      </c>
      <c r="D32" s="105">
        <v>2018</v>
      </c>
      <c r="E32" s="105">
        <v>2020</v>
      </c>
      <c r="F32" s="42">
        <v>19085840.03</v>
      </c>
      <c r="G32" s="38"/>
    </row>
    <row r="33" spans="1:7" ht="16.5" customHeight="1">
      <c r="A33" s="106"/>
      <c r="B33" s="109"/>
      <c r="C33" s="112"/>
      <c r="D33" s="106"/>
      <c r="E33" s="106"/>
      <c r="F33" s="43" t="s">
        <v>3</v>
      </c>
      <c r="G33" s="39">
        <v>13743964.4</v>
      </c>
    </row>
    <row r="34" spans="1:7" ht="21" customHeight="1">
      <c r="A34" s="107"/>
      <c r="B34" s="110"/>
      <c r="C34" s="113"/>
      <c r="D34" s="107"/>
      <c r="E34" s="107"/>
      <c r="F34" s="44"/>
      <c r="G34" s="40" t="s">
        <v>28</v>
      </c>
    </row>
    <row r="35" spans="1:7" ht="63" customHeight="1">
      <c r="A35" s="8" t="s">
        <v>42</v>
      </c>
      <c r="B35" s="18" t="s">
        <v>83</v>
      </c>
      <c r="C35" s="27">
        <v>25000</v>
      </c>
      <c r="D35" s="8">
        <v>2019</v>
      </c>
      <c r="E35" s="8">
        <v>2020</v>
      </c>
      <c r="F35" s="20">
        <v>25000</v>
      </c>
      <c r="G35" s="45"/>
    </row>
    <row r="36" spans="1:8" ht="23.25" customHeight="1">
      <c r="A36" s="12" t="s">
        <v>40</v>
      </c>
      <c r="B36" s="46" t="s">
        <v>76</v>
      </c>
      <c r="C36" s="22">
        <v>20000</v>
      </c>
      <c r="D36" s="12">
        <v>2020</v>
      </c>
      <c r="E36" s="12">
        <v>2020</v>
      </c>
      <c r="F36" s="20">
        <v>20000</v>
      </c>
      <c r="G36" s="45"/>
      <c r="H36" s="2">
        <f>SUM(F12,F13,F14,F15,F16,F18,F19,F21,F24,F25,F26,F27,F30,F31,F32,F35,F36)</f>
        <v>21794942.92</v>
      </c>
    </row>
    <row r="37" spans="1:7" ht="23.25" customHeight="1">
      <c r="A37" s="8" t="s">
        <v>44</v>
      </c>
      <c r="B37" s="18" t="s">
        <v>43</v>
      </c>
      <c r="C37" s="27">
        <v>35076</v>
      </c>
      <c r="D37" s="8">
        <v>2020</v>
      </c>
      <c r="E37" s="8">
        <v>2020</v>
      </c>
      <c r="F37" s="20">
        <v>35076</v>
      </c>
      <c r="G37" s="45"/>
    </row>
    <row r="38" spans="1:7" ht="23.25" customHeight="1">
      <c r="A38" s="8" t="s">
        <v>46</v>
      </c>
      <c r="B38" s="18" t="s">
        <v>45</v>
      </c>
      <c r="C38" s="27">
        <v>15000</v>
      </c>
      <c r="D38" s="8">
        <v>2020</v>
      </c>
      <c r="E38" s="8">
        <v>2021</v>
      </c>
      <c r="F38" s="20">
        <v>15000</v>
      </c>
      <c r="G38" s="45"/>
    </row>
    <row r="39" spans="1:7" ht="23.25" customHeight="1">
      <c r="A39" s="8" t="s">
        <v>47</v>
      </c>
      <c r="B39" s="18" t="s">
        <v>73</v>
      </c>
      <c r="C39" s="27">
        <v>12000</v>
      </c>
      <c r="D39" s="8">
        <v>2019</v>
      </c>
      <c r="E39" s="8">
        <v>2020</v>
      </c>
      <c r="F39" s="20">
        <v>12000</v>
      </c>
      <c r="G39" s="45"/>
    </row>
    <row r="40" spans="1:7" ht="23.25" customHeight="1">
      <c r="A40" s="8" t="s">
        <v>48</v>
      </c>
      <c r="B40" s="18" t="s">
        <v>72</v>
      </c>
      <c r="C40" s="27">
        <v>100000</v>
      </c>
      <c r="D40" s="8">
        <v>2020</v>
      </c>
      <c r="E40" s="8">
        <v>2020</v>
      </c>
      <c r="F40" s="20">
        <v>100000</v>
      </c>
      <c r="G40" s="45"/>
    </row>
    <row r="41" spans="1:7" ht="23.25" customHeight="1">
      <c r="A41" s="8" t="s">
        <v>50</v>
      </c>
      <c r="B41" s="18" t="s">
        <v>89</v>
      </c>
      <c r="C41" s="27">
        <v>60000</v>
      </c>
      <c r="D41" s="8">
        <v>2020</v>
      </c>
      <c r="E41" s="8">
        <v>2020</v>
      </c>
      <c r="F41" s="20">
        <v>60000</v>
      </c>
      <c r="G41" s="45"/>
    </row>
    <row r="42" spans="1:7" ht="23.25" customHeight="1">
      <c r="A42" s="8" t="s">
        <v>52</v>
      </c>
      <c r="B42" s="18" t="s">
        <v>88</v>
      </c>
      <c r="C42" s="27">
        <v>60000</v>
      </c>
      <c r="D42" s="8">
        <v>2020</v>
      </c>
      <c r="E42" s="8">
        <v>2020</v>
      </c>
      <c r="F42" s="20">
        <v>60000</v>
      </c>
      <c r="G42" s="45"/>
    </row>
    <row r="43" spans="1:7" ht="22.5" customHeight="1">
      <c r="A43" s="8" t="s">
        <v>53</v>
      </c>
      <c r="B43" s="47" t="s">
        <v>77</v>
      </c>
      <c r="C43" s="27">
        <v>50000</v>
      </c>
      <c r="D43" s="8">
        <v>2020</v>
      </c>
      <c r="E43" s="8">
        <v>2021</v>
      </c>
      <c r="F43" s="20">
        <v>50000</v>
      </c>
      <c r="G43" s="45"/>
    </row>
    <row r="44" spans="1:7" ht="27.75" customHeight="1">
      <c r="A44" s="8" t="s">
        <v>55</v>
      </c>
      <c r="B44" s="18" t="s">
        <v>49</v>
      </c>
      <c r="C44" s="27">
        <v>30000</v>
      </c>
      <c r="D44" s="8">
        <v>2014</v>
      </c>
      <c r="E44" s="8">
        <v>2024</v>
      </c>
      <c r="F44" s="48">
        <v>30000</v>
      </c>
      <c r="G44" s="37"/>
    </row>
    <row r="45" spans="1:8" ht="35.25" customHeight="1">
      <c r="A45" s="8" t="s">
        <v>57</v>
      </c>
      <c r="B45" s="26" t="s">
        <v>51</v>
      </c>
      <c r="C45" s="27">
        <v>6000</v>
      </c>
      <c r="D45" s="8">
        <v>2020</v>
      </c>
      <c r="E45" s="8">
        <v>2020</v>
      </c>
      <c r="F45" s="48">
        <v>6000</v>
      </c>
      <c r="G45" s="37"/>
      <c r="H45" s="2"/>
    </row>
    <row r="46" spans="1:7" ht="36.75" customHeight="1">
      <c r="A46" s="8" t="s">
        <v>59</v>
      </c>
      <c r="B46" s="26" t="s">
        <v>78</v>
      </c>
      <c r="C46" s="27">
        <v>70000</v>
      </c>
      <c r="D46" s="8">
        <v>2016</v>
      </c>
      <c r="E46" s="8">
        <v>2022</v>
      </c>
      <c r="F46" s="48">
        <v>70000</v>
      </c>
      <c r="G46" s="37"/>
    </row>
    <row r="47" spans="1:8" ht="21" customHeight="1">
      <c r="A47" s="8" t="s">
        <v>61</v>
      </c>
      <c r="B47" s="49" t="s">
        <v>54</v>
      </c>
      <c r="C47" s="27">
        <v>50000</v>
      </c>
      <c r="D47" s="8">
        <v>2020</v>
      </c>
      <c r="E47" s="8">
        <v>2020</v>
      </c>
      <c r="F47" s="48">
        <v>50000</v>
      </c>
      <c r="G47" s="37"/>
      <c r="H47" s="50"/>
    </row>
    <row r="48" spans="1:8" ht="24" customHeight="1">
      <c r="A48" s="8" t="s">
        <v>65</v>
      </c>
      <c r="B48" s="26" t="s">
        <v>56</v>
      </c>
      <c r="C48" s="27">
        <v>12000</v>
      </c>
      <c r="D48" s="8">
        <v>2020</v>
      </c>
      <c r="E48" s="12">
        <v>2020</v>
      </c>
      <c r="F48" s="24">
        <v>12000</v>
      </c>
      <c r="G48" s="41"/>
      <c r="H48" s="50"/>
    </row>
    <row r="49" spans="1:8" ht="25.5" customHeight="1" hidden="1">
      <c r="A49" s="8" t="s">
        <v>57</v>
      </c>
      <c r="B49" s="26" t="s">
        <v>58</v>
      </c>
      <c r="C49" s="27"/>
      <c r="D49" s="8">
        <v>2019</v>
      </c>
      <c r="E49" s="12">
        <v>2019</v>
      </c>
      <c r="F49" s="24"/>
      <c r="G49" s="41"/>
      <c r="H49" s="50"/>
    </row>
    <row r="50" spans="1:8" ht="25.5" customHeight="1" hidden="1">
      <c r="A50" s="8" t="s">
        <v>59</v>
      </c>
      <c r="B50" s="26" t="s">
        <v>60</v>
      </c>
      <c r="C50" s="27"/>
      <c r="D50" s="8">
        <v>2019</v>
      </c>
      <c r="E50" s="12">
        <v>2019</v>
      </c>
      <c r="F50" s="24"/>
      <c r="G50" s="41"/>
      <c r="H50" s="50"/>
    </row>
    <row r="51" spans="1:8" ht="24.75" customHeight="1" hidden="1">
      <c r="A51" s="8" t="s">
        <v>61</v>
      </c>
      <c r="B51" s="26" t="s">
        <v>62</v>
      </c>
      <c r="C51" s="27"/>
      <c r="D51" s="8">
        <v>2019</v>
      </c>
      <c r="E51" s="12">
        <v>2019</v>
      </c>
      <c r="F51" s="24"/>
      <c r="G51" s="41"/>
      <c r="H51" s="50"/>
    </row>
    <row r="52" spans="1:7" ht="56.25" customHeight="1">
      <c r="A52" s="8" t="s">
        <v>67</v>
      </c>
      <c r="B52" s="26" t="s">
        <v>63</v>
      </c>
      <c r="C52" s="27">
        <v>5000</v>
      </c>
      <c r="D52" s="8">
        <v>2019</v>
      </c>
      <c r="E52" s="8">
        <v>2022</v>
      </c>
      <c r="F52" s="48">
        <v>5000</v>
      </c>
      <c r="G52" s="37"/>
    </row>
    <row r="53" spans="1:7" ht="23.25" customHeight="1">
      <c r="A53" s="8" t="s">
        <v>69</v>
      </c>
      <c r="B53" s="60" t="s">
        <v>87</v>
      </c>
      <c r="C53" s="27">
        <v>10000</v>
      </c>
      <c r="D53" s="8">
        <v>2020</v>
      </c>
      <c r="E53" s="8">
        <v>2020</v>
      </c>
      <c r="F53" s="48">
        <v>10000</v>
      </c>
      <c r="G53" s="37"/>
    </row>
    <row r="54" spans="1:7" ht="27" customHeight="1">
      <c r="A54" s="8" t="s">
        <v>71</v>
      </c>
      <c r="B54" s="18" t="s">
        <v>64</v>
      </c>
      <c r="C54" s="27">
        <v>15757.96</v>
      </c>
      <c r="D54" s="8">
        <v>2020</v>
      </c>
      <c r="E54" s="12">
        <v>2020</v>
      </c>
      <c r="F54" s="24">
        <v>15757.96</v>
      </c>
      <c r="G54" s="41"/>
    </row>
    <row r="55" spans="1:7" ht="33" customHeight="1">
      <c r="A55" s="8" t="s">
        <v>84</v>
      </c>
      <c r="B55" s="18" t="s">
        <v>66</v>
      </c>
      <c r="C55" s="27">
        <v>30000</v>
      </c>
      <c r="D55" s="8">
        <v>2020</v>
      </c>
      <c r="E55" s="12">
        <v>2020</v>
      </c>
      <c r="F55" s="24">
        <v>30000</v>
      </c>
      <c r="G55" s="41"/>
    </row>
    <row r="56" spans="1:7" ht="33" customHeight="1" hidden="1">
      <c r="A56" s="8"/>
      <c r="B56" s="58"/>
      <c r="C56" s="27"/>
      <c r="D56" s="8"/>
      <c r="E56" s="12"/>
      <c r="F56" s="24"/>
      <c r="G56" s="41"/>
    </row>
    <row r="57" spans="1:7" ht="33" customHeight="1">
      <c r="A57" s="8" t="s">
        <v>85</v>
      </c>
      <c r="B57" s="58" t="s">
        <v>68</v>
      </c>
      <c r="C57" s="27">
        <v>48000</v>
      </c>
      <c r="D57" s="8">
        <v>2019</v>
      </c>
      <c r="E57" s="12">
        <v>2020</v>
      </c>
      <c r="F57" s="24">
        <v>48000</v>
      </c>
      <c r="G57" s="41"/>
    </row>
    <row r="58" spans="1:8" ht="23.25" customHeight="1">
      <c r="A58" s="8" t="s">
        <v>86</v>
      </c>
      <c r="B58" s="26" t="s">
        <v>70</v>
      </c>
      <c r="C58" s="27">
        <v>30155.23</v>
      </c>
      <c r="D58" s="8">
        <v>2020</v>
      </c>
      <c r="E58" s="12">
        <v>2020</v>
      </c>
      <c r="F58" s="24">
        <v>30155.23</v>
      </c>
      <c r="G58" s="41"/>
      <c r="H58" s="2"/>
    </row>
    <row r="59" spans="1:8" ht="26.25" customHeight="1">
      <c r="A59" s="8" t="s">
        <v>90</v>
      </c>
      <c r="B59" s="26" t="s">
        <v>80</v>
      </c>
      <c r="C59" s="27">
        <v>15500</v>
      </c>
      <c r="D59" s="8">
        <v>2019</v>
      </c>
      <c r="E59" s="12">
        <v>2020</v>
      </c>
      <c r="F59" s="24">
        <v>15500</v>
      </c>
      <c r="G59" s="41"/>
      <c r="H59" s="2">
        <f>SUM(F37,F38,F39,F40,F41,F42,F43,F44,F45,F46,F47,F48,F52,F53,F54,F55,F57,F58,F59)</f>
        <v>654489.19</v>
      </c>
    </row>
    <row r="60" spans="1:7" ht="20.25" customHeight="1">
      <c r="A60" s="5"/>
      <c r="B60" s="51"/>
      <c r="C60" s="52"/>
      <c r="D60" s="51"/>
      <c r="E60" s="53" t="s">
        <v>5</v>
      </c>
      <c r="F60" s="54">
        <f>SUM(H59,H36)</f>
        <v>22449432.110000003</v>
      </c>
      <c r="G60" s="55"/>
    </row>
    <row r="61" spans="1:7" ht="11.25">
      <c r="A61" s="5"/>
      <c r="B61" s="51"/>
      <c r="C61" s="51"/>
      <c r="D61" s="51"/>
      <c r="E61" s="51"/>
      <c r="F61" s="56"/>
      <c r="G61" s="51"/>
    </row>
    <row r="62" spans="1:7" ht="11.25">
      <c r="A62" s="5"/>
      <c r="B62" s="51"/>
      <c r="C62" s="51"/>
      <c r="D62" s="51"/>
      <c r="E62" s="51"/>
      <c r="F62" s="56"/>
      <c r="G62" s="51"/>
    </row>
    <row r="63" spans="1:7" ht="11.25">
      <c r="A63" s="5"/>
      <c r="B63" s="51"/>
      <c r="C63" s="51"/>
      <c r="D63" s="51"/>
      <c r="E63" s="51"/>
      <c r="F63" s="56"/>
      <c r="G63" s="51"/>
    </row>
    <row r="64" spans="1:7" ht="11.25">
      <c r="A64" s="5"/>
      <c r="B64" s="51"/>
      <c r="C64" s="51"/>
      <c r="D64" s="51"/>
      <c r="E64" s="51"/>
      <c r="F64" s="56"/>
      <c r="G64" s="51"/>
    </row>
    <row r="65" ht="11.25">
      <c r="F65" s="57"/>
    </row>
  </sheetData>
  <sheetProtection/>
  <mergeCells count="22">
    <mergeCell ref="A6:G7"/>
    <mergeCell ref="A9:A11"/>
    <mergeCell ref="B9:B11"/>
    <mergeCell ref="C9:C11"/>
    <mergeCell ref="D9:D11"/>
    <mergeCell ref="F9:G10"/>
    <mergeCell ref="E9:E11"/>
    <mergeCell ref="D20:D23"/>
    <mergeCell ref="E20:E23"/>
    <mergeCell ref="E27:E29"/>
    <mergeCell ref="A20:A23"/>
    <mergeCell ref="B20:B23"/>
    <mergeCell ref="C20:C23"/>
    <mergeCell ref="A32:A34"/>
    <mergeCell ref="B32:B34"/>
    <mergeCell ref="C32:C34"/>
    <mergeCell ref="D32:D34"/>
    <mergeCell ref="E32:E34"/>
    <mergeCell ref="A27:A29"/>
    <mergeCell ref="B27:B29"/>
    <mergeCell ref="C27:C29"/>
    <mergeCell ref="D27:D29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G30"/>
  <sheetViews>
    <sheetView zoomScalePageLayoutView="0" workbookViewId="0" topLeftCell="A1">
      <selection activeCell="F2" sqref="F2"/>
    </sheetView>
  </sheetViews>
  <sheetFormatPr defaultColWidth="9.00390625" defaultRowHeight="12.75"/>
  <cols>
    <col min="1" max="1" width="7.875" style="61" customWidth="1"/>
    <col min="2" max="2" width="9.125" style="61" customWidth="1"/>
    <col min="3" max="3" width="12.00390625" style="61" bestFit="1" customWidth="1"/>
    <col min="4" max="5" width="9.125" style="61" customWidth="1"/>
    <col min="6" max="6" width="22.875" style="61" customWidth="1"/>
    <col min="7" max="7" width="12.25390625" style="63" bestFit="1" customWidth="1"/>
    <col min="8" max="16384" width="9.125" style="61" customWidth="1"/>
  </cols>
  <sheetData>
    <row r="1" ht="12">
      <c r="F1" s="62" t="s">
        <v>91</v>
      </c>
    </row>
    <row r="2" ht="12">
      <c r="F2" s="2" t="s">
        <v>150</v>
      </c>
    </row>
    <row r="3" ht="12">
      <c r="F3" s="2" t="s">
        <v>1</v>
      </c>
    </row>
    <row r="4" ht="12">
      <c r="F4" s="2" t="s">
        <v>81</v>
      </c>
    </row>
    <row r="8" ht="12">
      <c r="B8" s="61" t="s">
        <v>92</v>
      </c>
    </row>
    <row r="9" ht="12">
      <c r="C9" s="61" t="s">
        <v>93</v>
      </c>
    </row>
    <row r="13" spans="1:7" ht="18">
      <c r="A13" s="64" t="s">
        <v>94</v>
      </c>
      <c r="G13" s="65">
        <f>SUM(G15,G21,G23)</f>
        <v>6005206.21</v>
      </c>
    </row>
    <row r="14" spans="1:7" ht="12">
      <c r="A14" s="66"/>
      <c r="G14" s="65"/>
    </row>
    <row r="15" spans="1:7" ht="32.25" customHeight="1" hidden="1">
      <c r="A15" s="67" t="s">
        <v>95</v>
      </c>
      <c r="B15" s="129" t="s">
        <v>96</v>
      </c>
      <c r="C15" s="129"/>
      <c r="D15" s="129"/>
      <c r="E15" s="129"/>
      <c r="F15" s="129"/>
      <c r="G15" s="65">
        <f>G18</f>
        <v>0</v>
      </c>
    </row>
    <row r="16" spans="1:7" ht="12" hidden="1">
      <c r="A16" s="68"/>
      <c r="B16" s="69"/>
      <c r="C16" s="69"/>
      <c r="D16" s="69"/>
      <c r="E16" s="69"/>
      <c r="F16" s="69"/>
      <c r="G16" s="70"/>
    </row>
    <row r="17" spans="1:7" ht="12" hidden="1">
      <c r="A17" s="68"/>
      <c r="B17" s="61" t="s">
        <v>3</v>
      </c>
      <c r="G17" s="70"/>
    </row>
    <row r="18" spans="1:7" ht="12" hidden="1">
      <c r="A18" s="68"/>
      <c r="C18" s="130" t="s">
        <v>97</v>
      </c>
      <c r="D18" s="130"/>
      <c r="E18" s="130"/>
      <c r="F18" s="130"/>
      <c r="G18" s="131"/>
    </row>
    <row r="19" spans="1:7" ht="12" hidden="1">
      <c r="A19" s="68"/>
      <c r="C19" s="130"/>
      <c r="D19" s="130"/>
      <c r="E19" s="130"/>
      <c r="F19" s="130"/>
      <c r="G19" s="131"/>
    </row>
    <row r="20" spans="1:7" ht="12" hidden="1">
      <c r="A20" s="68"/>
      <c r="C20" s="71"/>
      <c r="D20" s="71"/>
      <c r="E20" s="71"/>
      <c r="F20" s="71"/>
      <c r="G20" s="72"/>
    </row>
    <row r="21" spans="1:7" s="67" customFormat="1" ht="21" customHeight="1">
      <c r="A21" s="67" t="s">
        <v>98</v>
      </c>
      <c r="B21" s="132" t="s">
        <v>99</v>
      </c>
      <c r="C21" s="132"/>
      <c r="D21" s="132"/>
      <c r="E21" s="132"/>
      <c r="F21" s="132"/>
      <c r="G21" s="65">
        <v>4750000</v>
      </c>
    </row>
    <row r="22" spans="1:7" ht="12">
      <c r="A22" s="66"/>
      <c r="C22" s="71"/>
      <c r="D22" s="71"/>
      <c r="E22" s="71"/>
      <c r="F22" s="71"/>
      <c r="G22" s="73"/>
    </row>
    <row r="23" spans="1:7" ht="12">
      <c r="A23" s="66" t="s">
        <v>100</v>
      </c>
      <c r="B23" s="66" t="s">
        <v>101</v>
      </c>
      <c r="C23" s="74"/>
      <c r="D23" s="74"/>
      <c r="E23" s="74"/>
      <c r="F23" s="74"/>
      <c r="G23" s="65">
        <v>1255206.21</v>
      </c>
    </row>
    <row r="24" spans="1:7" ht="12">
      <c r="A24" s="68"/>
      <c r="B24" s="68"/>
      <c r="C24" s="75"/>
      <c r="D24" s="75"/>
      <c r="E24" s="75"/>
      <c r="F24" s="75"/>
      <c r="G24" s="65"/>
    </row>
    <row r="25" spans="3:6" ht="12">
      <c r="C25" s="71"/>
      <c r="D25" s="71"/>
      <c r="E25" s="71"/>
      <c r="F25" s="71"/>
    </row>
    <row r="26" spans="1:7" s="66" customFormat="1" ht="16.5" customHeight="1">
      <c r="A26" s="64" t="s">
        <v>102</v>
      </c>
      <c r="G26" s="65">
        <f>SUM(G30,G28)</f>
        <v>3657773</v>
      </c>
    </row>
    <row r="27" spans="1:6" ht="12">
      <c r="A27" s="76"/>
      <c r="B27" s="77"/>
      <c r="C27" s="77"/>
      <c r="D27" s="77"/>
      <c r="E27" s="77"/>
      <c r="F27" s="77"/>
    </row>
    <row r="28" spans="1:7" ht="36" customHeight="1">
      <c r="A28" s="67" t="s">
        <v>103</v>
      </c>
      <c r="B28" s="129" t="s">
        <v>104</v>
      </c>
      <c r="C28" s="129"/>
      <c r="D28" s="129"/>
      <c r="E28" s="129"/>
      <c r="F28" s="129"/>
      <c r="G28" s="65">
        <v>1315273</v>
      </c>
    </row>
    <row r="29" spans="1:7" ht="12">
      <c r="A29" s="78"/>
      <c r="B29" s="69"/>
      <c r="C29" s="69"/>
      <c r="D29" s="69"/>
      <c r="E29" s="69"/>
      <c r="F29" s="69"/>
      <c r="G29" s="70"/>
    </row>
    <row r="30" spans="1:7" s="66" customFormat="1" ht="12">
      <c r="A30" s="66" t="s">
        <v>105</v>
      </c>
      <c r="B30" s="133" t="s">
        <v>106</v>
      </c>
      <c r="C30" s="133"/>
      <c r="D30" s="133"/>
      <c r="E30" s="133"/>
      <c r="F30" s="133"/>
      <c r="G30" s="65">
        <f>2342500</f>
        <v>2342500</v>
      </c>
    </row>
  </sheetData>
  <sheetProtection/>
  <mergeCells count="6">
    <mergeCell ref="B15:F15"/>
    <mergeCell ref="C18:F19"/>
    <mergeCell ref="G18:G19"/>
    <mergeCell ref="B21:F21"/>
    <mergeCell ref="B28:F28"/>
    <mergeCell ref="B30:F3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R59"/>
  <sheetViews>
    <sheetView tabSelected="1" zoomScalePageLayoutView="0" workbookViewId="0" topLeftCell="A34">
      <selection activeCell="T29" sqref="T29"/>
    </sheetView>
  </sheetViews>
  <sheetFormatPr defaultColWidth="9.00390625" defaultRowHeight="12.75"/>
  <cols>
    <col min="1" max="1" width="4.125" style="0" customWidth="1"/>
    <col min="2" max="2" width="13.625" style="0" customWidth="1"/>
    <col min="3" max="3" width="14.875" style="0" customWidth="1"/>
    <col min="5" max="5" width="12.125" style="0" customWidth="1"/>
    <col min="6" max="6" width="11.125" style="0" customWidth="1"/>
    <col min="7" max="7" width="11.875" style="0" customWidth="1"/>
    <col min="8" max="8" width="10.00390625" style="0" customWidth="1"/>
    <col min="9" max="9" width="7.875" style="0" customWidth="1"/>
    <col min="10" max="10" width="10.25390625" style="0" customWidth="1"/>
    <col min="11" max="11" width="0" style="0" hidden="1" customWidth="1"/>
    <col min="12" max="12" width="12.75390625" style="0" hidden="1" customWidth="1"/>
    <col min="13" max="13" width="12.625" style="0" hidden="1" customWidth="1"/>
    <col min="14" max="14" width="12.75390625" style="89" hidden="1" customWidth="1"/>
    <col min="15" max="15" width="0" style="0" hidden="1" customWidth="1"/>
    <col min="18" max="18" width="10.125" style="0" bestFit="1" customWidth="1"/>
  </cols>
  <sheetData>
    <row r="1" spans="1:10" ht="12.75">
      <c r="A1" s="79"/>
      <c r="B1" s="79"/>
      <c r="C1" s="79"/>
      <c r="D1" s="79"/>
      <c r="E1" s="79"/>
      <c r="F1" s="79"/>
      <c r="G1" s="62" t="s">
        <v>144</v>
      </c>
      <c r="H1" s="79"/>
      <c r="I1" s="79"/>
      <c r="J1" s="79"/>
    </row>
    <row r="2" spans="1:10" ht="12.75">
      <c r="A2" s="79"/>
      <c r="B2" s="79"/>
      <c r="C2" s="79"/>
      <c r="D2" s="79"/>
      <c r="E2" s="79"/>
      <c r="F2" s="79"/>
      <c r="G2" s="2" t="s">
        <v>150</v>
      </c>
      <c r="H2" s="79"/>
      <c r="I2" s="79"/>
      <c r="J2" s="79"/>
    </row>
    <row r="3" spans="1:10" ht="12.75">
      <c r="A3" s="79"/>
      <c r="B3" s="79"/>
      <c r="C3" s="79"/>
      <c r="D3" s="79"/>
      <c r="E3" s="79"/>
      <c r="F3" s="79"/>
      <c r="G3" s="2" t="s">
        <v>1</v>
      </c>
      <c r="H3" s="79"/>
      <c r="I3" s="79"/>
      <c r="J3" s="79"/>
    </row>
    <row r="4" spans="1:10" ht="12.75">
      <c r="A4" s="79"/>
      <c r="B4" s="79"/>
      <c r="C4" s="79"/>
      <c r="D4" s="79"/>
      <c r="E4" s="79"/>
      <c r="F4" s="79"/>
      <c r="G4" s="2" t="s">
        <v>81</v>
      </c>
      <c r="H4" s="79"/>
      <c r="I4" s="79"/>
      <c r="J4" s="79"/>
    </row>
    <row r="5" spans="1:10" ht="12.75">
      <c r="A5" s="79"/>
      <c r="B5" s="80"/>
      <c r="C5" s="80"/>
      <c r="D5" s="79"/>
      <c r="E5" s="79"/>
      <c r="F5" s="79"/>
      <c r="G5" s="79"/>
      <c r="H5" s="79"/>
      <c r="I5" s="79"/>
      <c r="J5" s="79"/>
    </row>
    <row r="6" spans="1:10" ht="12.75">
      <c r="A6" s="158" t="s">
        <v>107</v>
      </c>
      <c r="B6" s="159"/>
      <c r="C6" s="159"/>
      <c r="D6" s="159"/>
      <c r="E6" s="159"/>
      <c r="F6" s="159"/>
      <c r="G6" s="159"/>
      <c r="H6" s="159"/>
      <c r="I6" s="159"/>
      <c r="J6" s="79"/>
    </row>
    <row r="7" spans="1:10" ht="12.75">
      <c r="A7" s="79"/>
      <c r="B7" s="80"/>
      <c r="C7" s="80"/>
      <c r="D7" s="79"/>
      <c r="E7" s="79"/>
      <c r="F7" s="79"/>
      <c r="G7" s="79"/>
      <c r="H7" s="79"/>
      <c r="I7" s="79"/>
      <c r="J7" s="79"/>
    </row>
    <row r="8" spans="1:10" ht="12.75">
      <c r="A8" s="160" t="s">
        <v>2</v>
      </c>
      <c r="B8" s="161" t="s">
        <v>108</v>
      </c>
      <c r="C8" s="164" t="s">
        <v>0</v>
      </c>
      <c r="D8" s="167" t="s">
        <v>109</v>
      </c>
      <c r="E8" s="168" t="s">
        <v>110</v>
      </c>
      <c r="F8" s="155" t="s">
        <v>111</v>
      </c>
      <c r="G8" s="155"/>
      <c r="H8" s="155"/>
      <c r="I8" s="155"/>
      <c r="J8" s="155"/>
    </row>
    <row r="9" spans="1:10" ht="12.75">
      <c r="A9" s="160"/>
      <c r="B9" s="162"/>
      <c r="C9" s="165"/>
      <c r="D9" s="167"/>
      <c r="E9" s="169"/>
      <c r="F9" s="155"/>
      <c r="G9" s="155"/>
      <c r="H9" s="155"/>
      <c r="I9" s="155"/>
      <c r="J9" s="155"/>
    </row>
    <row r="10" spans="1:10" ht="0.75" customHeight="1">
      <c r="A10" s="160"/>
      <c r="B10" s="162"/>
      <c r="C10" s="165"/>
      <c r="D10" s="167"/>
      <c r="E10" s="169"/>
      <c r="F10" s="155"/>
      <c r="G10" s="155"/>
      <c r="H10" s="155"/>
      <c r="I10" s="155"/>
      <c r="J10" s="155"/>
    </row>
    <row r="11" spans="1:10" ht="10.5" customHeight="1">
      <c r="A11" s="160"/>
      <c r="B11" s="162"/>
      <c r="C11" s="165"/>
      <c r="D11" s="167"/>
      <c r="E11" s="169"/>
      <c r="F11" s="171" t="s">
        <v>112</v>
      </c>
      <c r="G11" s="154" t="s">
        <v>113</v>
      </c>
      <c r="H11" s="173" t="s">
        <v>114</v>
      </c>
      <c r="I11" s="154" t="s">
        <v>115</v>
      </c>
      <c r="J11" s="154" t="s">
        <v>116</v>
      </c>
    </row>
    <row r="12" spans="1:10" ht="13.5" thickBot="1">
      <c r="A12" s="160"/>
      <c r="B12" s="163"/>
      <c r="C12" s="166"/>
      <c r="D12" s="167"/>
      <c r="E12" s="169"/>
      <c r="F12" s="171"/>
      <c r="G12" s="155"/>
      <c r="H12" s="173"/>
      <c r="I12" s="155"/>
      <c r="J12" s="155"/>
    </row>
    <row r="13" spans="1:10" ht="25.5" customHeight="1" thickBot="1">
      <c r="A13" s="160"/>
      <c r="B13" s="156" t="s">
        <v>117</v>
      </c>
      <c r="C13" s="157"/>
      <c r="D13" s="167"/>
      <c r="E13" s="170"/>
      <c r="F13" s="172"/>
      <c r="G13" s="155"/>
      <c r="H13" s="154"/>
      <c r="I13" s="155"/>
      <c r="J13" s="155"/>
    </row>
    <row r="14" spans="1:10" ht="12.75">
      <c r="A14" s="81"/>
      <c r="B14" s="82"/>
      <c r="C14" s="82"/>
      <c r="D14" s="83"/>
      <c r="E14" s="83"/>
      <c r="F14" s="83"/>
      <c r="G14" s="84"/>
      <c r="H14" s="85"/>
      <c r="I14" s="86"/>
      <c r="J14" s="87"/>
    </row>
    <row r="15" spans="1:14" ht="24" customHeight="1">
      <c r="A15" s="142" t="s">
        <v>4</v>
      </c>
      <c r="B15" s="103" t="s">
        <v>118</v>
      </c>
      <c r="C15" s="88" t="s">
        <v>119</v>
      </c>
      <c r="D15" s="144" t="s">
        <v>120</v>
      </c>
      <c r="E15" s="151">
        <v>442396.25</v>
      </c>
      <c r="F15" s="134">
        <f>SUM(F17:F23)</f>
        <v>78189.20999999999</v>
      </c>
      <c r="G15" s="134">
        <f>SUM(G17:G23)</f>
        <v>66460.84000000001</v>
      </c>
      <c r="H15" s="134">
        <f>SUM(H17:H23)</f>
        <v>3909.48</v>
      </c>
      <c r="I15" s="134">
        <f>SUM(I17:I23)</f>
        <v>7818.89</v>
      </c>
      <c r="J15" s="134">
        <f>SUM(J17:J23)</f>
        <v>0</v>
      </c>
      <c r="L15" s="104" t="s">
        <v>147</v>
      </c>
      <c r="M15" s="104">
        <f>SUM(G15,G25,G36,G44,G52)</f>
        <v>14855678.969999999</v>
      </c>
      <c r="N15" s="104"/>
    </row>
    <row r="16" spans="1:14" ht="12.75" customHeight="1">
      <c r="A16" s="142"/>
      <c r="B16" s="143" t="s">
        <v>121</v>
      </c>
      <c r="C16" s="143"/>
      <c r="D16" s="144"/>
      <c r="E16" s="153"/>
      <c r="F16" s="135"/>
      <c r="G16" s="135"/>
      <c r="H16" s="135"/>
      <c r="I16" s="135"/>
      <c r="J16" s="135"/>
      <c r="L16" s="104" t="s">
        <v>148</v>
      </c>
      <c r="M16" s="104">
        <f>SUM(I15,I25)</f>
        <v>16257.54</v>
      </c>
      <c r="N16" s="152">
        <f>SUM(M16:M17)</f>
        <v>2647769.6899999995</v>
      </c>
    </row>
    <row r="17" spans="1:14" ht="12.75">
      <c r="A17" s="142"/>
      <c r="B17" s="143"/>
      <c r="C17" s="143"/>
      <c r="D17" s="144"/>
      <c r="E17" s="90" t="s">
        <v>122</v>
      </c>
      <c r="F17" s="90">
        <f aca="true" t="shared" si="0" ref="F17:F23">SUM(G17:J17)</f>
        <v>28834.74</v>
      </c>
      <c r="G17" s="90">
        <f>11499.89+2057.94+10951.68</f>
        <v>24509.510000000002</v>
      </c>
      <c r="H17" s="90">
        <f>676.46+121.06+644.24</f>
        <v>1441.76</v>
      </c>
      <c r="I17" s="90">
        <f>1352.93+242.1+1288.44</f>
        <v>2883.4700000000003</v>
      </c>
      <c r="J17" s="90">
        <v>0</v>
      </c>
      <c r="L17" s="104" t="s">
        <v>149</v>
      </c>
      <c r="M17" s="104">
        <f>SUM(H15,H25,H36,H44,H52)</f>
        <v>2631512.1499999994</v>
      </c>
      <c r="N17" s="152"/>
    </row>
    <row r="18" spans="1:12" ht="12.75">
      <c r="A18" s="142"/>
      <c r="B18" s="143"/>
      <c r="C18" s="143"/>
      <c r="D18" s="144"/>
      <c r="E18" s="90" t="s">
        <v>123</v>
      </c>
      <c r="F18" s="90">
        <f t="shared" si="0"/>
        <v>4956.9400000000005</v>
      </c>
      <c r="G18" s="90">
        <f>1976.83+353.76+1882.85</f>
        <v>4213.4400000000005</v>
      </c>
      <c r="H18" s="90">
        <f>116.28+20.81+110.75</f>
        <v>247.84</v>
      </c>
      <c r="I18" s="90">
        <f>232.57+41.62+221.47</f>
        <v>495.65999999999997</v>
      </c>
      <c r="J18" s="90">
        <v>0</v>
      </c>
      <c r="L18" s="89"/>
    </row>
    <row r="19" spans="1:12" ht="12.75">
      <c r="A19" s="142"/>
      <c r="B19" s="143"/>
      <c r="C19" s="143"/>
      <c r="D19" s="144"/>
      <c r="E19" s="90" t="s">
        <v>124</v>
      </c>
      <c r="F19" s="90">
        <f t="shared" si="0"/>
        <v>1544.3100000000002</v>
      </c>
      <c r="G19" s="90">
        <f>281.75+50.42+980.5</f>
        <v>1312.67</v>
      </c>
      <c r="H19" s="90">
        <f>16.57+2.97+57.67</f>
        <v>77.21000000000001</v>
      </c>
      <c r="I19" s="90">
        <f>33.15+5.93+115.35</f>
        <v>154.43</v>
      </c>
      <c r="J19" s="90">
        <v>0</v>
      </c>
      <c r="L19" s="89"/>
    </row>
    <row r="20" spans="1:12" ht="12.75">
      <c r="A20" s="142"/>
      <c r="B20" s="143"/>
      <c r="C20" s="143"/>
      <c r="D20" s="144"/>
      <c r="E20" s="90" t="s">
        <v>125</v>
      </c>
      <c r="F20" s="90">
        <f t="shared" si="0"/>
        <v>1200</v>
      </c>
      <c r="G20" s="90">
        <v>1020</v>
      </c>
      <c r="H20" s="90">
        <v>60</v>
      </c>
      <c r="I20" s="90">
        <v>120</v>
      </c>
      <c r="J20" s="90">
        <v>0</v>
      </c>
      <c r="L20" s="89"/>
    </row>
    <row r="21" spans="1:12" ht="12.75">
      <c r="A21" s="142"/>
      <c r="B21" s="143"/>
      <c r="C21" s="143"/>
      <c r="D21" s="144"/>
      <c r="E21" s="90" t="s">
        <v>126</v>
      </c>
      <c r="F21" s="90">
        <f t="shared" si="0"/>
        <v>32244.82</v>
      </c>
      <c r="G21" s="90">
        <f>1232.5+26175.59</f>
        <v>27408.09</v>
      </c>
      <c r="H21" s="90">
        <f>72.5+1539.75</f>
        <v>1612.25</v>
      </c>
      <c r="I21" s="90">
        <f>145+3079.48</f>
        <v>3224.48</v>
      </c>
      <c r="J21" s="90">
        <v>0</v>
      </c>
      <c r="L21" s="89"/>
    </row>
    <row r="22" spans="1:12" ht="12.75">
      <c r="A22" s="142"/>
      <c r="B22" s="143"/>
      <c r="C22" s="143"/>
      <c r="D22" s="144"/>
      <c r="E22" s="90" t="s">
        <v>145</v>
      </c>
      <c r="F22" s="90">
        <f t="shared" si="0"/>
        <v>7317.0599999999995</v>
      </c>
      <c r="G22" s="90">
        <f>4369+1850.49</f>
        <v>6219.49</v>
      </c>
      <c r="H22" s="90">
        <f>257+108.86</f>
        <v>365.86</v>
      </c>
      <c r="I22" s="90">
        <f>514+217.71</f>
        <v>731.71</v>
      </c>
      <c r="J22" s="90">
        <v>0</v>
      </c>
      <c r="L22" s="89"/>
    </row>
    <row r="23" spans="1:12" ht="12.75">
      <c r="A23" s="142"/>
      <c r="B23" s="143"/>
      <c r="C23" s="143"/>
      <c r="D23" s="144"/>
      <c r="E23" s="90" t="s">
        <v>129</v>
      </c>
      <c r="F23" s="90">
        <f t="shared" si="0"/>
        <v>2091.34</v>
      </c>
      <c r="G23" s="90">
        <v>1777.64</v>
      </c>
      <c r="H23" s="90">
        <v>104.56</v>
      </c>
      <c r="I23" s="90">
        <v>209.14</v>
      </c>
      <c r="J23" s="90">
        <v>0</v>
      </c>
      <c r="L23" s="89"/>
    </row>
    <row r="24" spans="1:12" ht="12.75">
      <c r="A24" s="91"/>
      <c r="B24" s="92"/>
      <c r="C24" s="92"/>
      <c r="D24" s="93"/>
      <c r="E24" s="94"/>
      <c r="F24" s="94"/>
      <c r="G24" s="94"/>
      <c r="H24" s="94"/>
      <c r="I24" s="94"/>
      <c r="J24" s="94"/>
      <c r="L24" s="89"/>
    </row>
    <row r="25" spans="1:12" ht="12.75" customHeight="1">
      <c r="A25" s="142" t="s">
        <v>7</v>
      </c>
      <c r="B25" s="86" t="s">
        <v>118</v>
      </c>
      <c r="C25" s="95" t="s">
        <v>119</v>
      </c>
      <c r="D25" s="144" t="s">
        <v>127</v>
      </c>
      <c r="E25" s="151">
        <v>281176.25</v>
      </c>
      <c r="F25" s="134">
        <f>SUM(F27:F34)</f>
        <v>84386.56999999999</v>
      </c>
      <c r="G25" s="134">
        <f>SUM(G27:G34)</f>
        <v>71728.62</v>
      </c>
      <c r="H25" s="134">
        <f>SUM(H27:H34)</f>
        <v>4219.3</v>
      </c>
      <c r="I25" s="134">
        <f>SUM(I27:I34)</f>
        <v>8438.65</v>
      </c>
      <c r="J25" s="134">
        <f>SUM(J27:J34)</f>
        <v>0</v>
      </c>
      <c r="L25" s="89"/>
    </row>
    <row r="26" spans="1:12" ht="12" customHeight="1">
      <c r="A26" s="142"/>
      <c r="B26" s="143" t="s">
        <v>128</v>
      </c>
      <c r="C26" s="143"/>
      <c r="D26" s="144"/>
      <c r="E26" s="153"/>
      <c r="F26" s="135"/>
      <c r="G26" s="135"/>
      <c r="H26" s="135"/>
      <c r="I26" s="135"/>
      <c r="J26" s="135"/>
      <c r="L26" s="89"/>
    </row>
    <row r="27" spans="1:12" ht="12.75">
      <c r="A27" s="142"/>
      <c r="B27" s="143"/>
      <c r="C27" s="143"/>
      <c r="D27" s="144"/>
      <c r="E27" s="90" t="s">
        <v>122</v>
      </c>
      <c r="F27" s="90">
        <f aca="true" t="shared" si="1" ref="F27:F34">SUM(G27:J27)</f>
        <v>45675.479999999996</v>
      </c>
      <c r="G27" s="90">
        <f>24560.77+4793.93+9469.45</f>
        <v>38824.15</v>
      </c>
      <c r="H27" s="90">
        <f>1444.75+282+557.06</f>
        <v>2283.81</v>
      </c>
      <c r="I27" s="90">
        <f>2889.5+563.99+1114.03</f>
        <v>4567.5199999999995</v>
      </c>
      <c r="J27" s="90">
        <v>0</v>
      </c>
      <c r="L27" s="89"/>
    </row>
    <row r="28" spans="1:12" ht="12.75">
      <c r="A28" s="142"/>
      <c r="B28" s="143"/>
      <c r="C28" s="143"/>
      <c r="D28" s="144"/>
      <c r="E28" s="90" t="s">
        <v>123</v>
      </c>
      <c r="F28" s="90">
        <f t="shared" si="1"/>
        <v>7815.650000000001</v>
      </c>
      <c r="G28" s="90">
        <f>4199.89+824.08+1619.33</f>
        <v>6643.3</v>
      </c>
      <c r="H28" s="90">
        <f>247.05+48.47+95.23</f>
        <v>390.75</v>
      </c>
      <c r="I28" s="90">
        <f>494.11+96.95+190.54</f>
        <v>781.6</v>
      </c>
      <c r="J28" s="90">
        <v>0</v>
      </c>
      <c r="L28" s="89"/>
    </row>
    <row r="29" spans="1:12" ht="12.75">
      <c r="A29" s="142"/>
      <c r="B29" s="143"/>
      <c r="C29" s="143"/>
      <c r="D29" s="144"/>
      <c r="E29" s="90" t="s">
        <v>124</v>
      </c>
      <c r="F29" s="90">
        <f t="shared" si="1"/>
        <v>1278.24</v>
      </c>
      <c r="G29" s="90">
        <f>601.74+117.45+367.33</f>
        <v>1086.52</v>
      </c>
      <c r="H29" s="90">
        <f>35.4+6.91+21.59</f>
        <v>63.900000000000006</v>
      </c>
      <c r="I29" s="90">
        <f>70.79+13.82+43.21</f>
        <v>127.82000000000002</v>
      </c>
      <c r="J29" s="90">
        <v>0</v>
      </c>
      <c r="L29" s="89"/>
    </row>
    <row r="30" spans="1:12" ht="12.75">
      <c r="A30" s="142"/>
      <c r="B30" s="143"/>
      <c r="C30" s="143"/>
      <c r="D30" s="144"/>
      <c r="E30" s="90" t="s">
        <v>125</v>
      </c>
      <c r="F30" s="90">
        <f t="shared" si="1"/>
        <v>4800</v>
      </c>
      <c r="G30" s="90">
        <v>4080</v>
      </c>
      <c r="H30" s="90">
        <v>240</v>
      </c>
      <c r="I30" s="90">
        <v>480</v>
      </c>
      <c r="J30" s="90">
        <v>0</v>
      </c>
      <c r="L30" s="89"/>
    </row>
    <row r="31" spans="1:12" ht="12.75">
      <c r="A31" s="142"/>
      <c r="B31" s="143"/>
      <c r="C31" s="143"/>
      <c r="D31" s="144"/>
      <c r="E31" s="90" t="s">
        <v>126</v>
      </c>
      <c r="F31" s="90">
        <f t="shared" si="1"/>
        <v>21739.33</v>
      </c>
      <c r="G31" s="90">
        <f>2867.9+15610.54</f>
        <v>18478.440000000002</v>
      </c>
      <c r="H31" s="90">
        <f>168.7+918.26</f>
        <v>1086.96</v>
      </c>
      <c r="I31" s="90">
        <f>337.4+1836.53</f>
        <v>2173.93</v>
      </c>
      <c r="J31" s="90">
        <v>0</v>
      </c>
      <c r="L31" s="89"/>
    </row>
    <row r="32" spans="1:12" ht="12.75">
      <c r="A32" s="142"/>
      <c r="B32" s="143"/>
      <c r="C32" s="143"/>
      <c r="D32" s="144"/>
      <c r="E32" s="90" t="s">
        <v>145</v>
      </c>
      <c r="F32" s="90">
        <f t="shared" si="1"/>
        <v>25.470000000000002</v>
      </c>
      <c r="G32" s="90">
        <v>21.67</v>
      </c>
      <c r="H32" s="90">
        <v>1.26</v>
      </c>
      <c r="I32" s="90">
        <v>2.54</v>
      </c>
      <c r="J32" s="90">
        <v>0</v>
      </c>
      <c r="L32" s="89"/>
    </row>
    <row r="33" spans="1:12" ht="12.75">
      <c r="A33" s="142"/>
      <c r="B33" s="143"/>
      <c r="C33" s="143"/>
      <c r="D33" s="144"/>
      <c r="E33" s="90" t="s">
        <v>129</v>
      </c>
      <c r="F33" s="90">
        <f t="shared" si="1"/>
        <v>1492.3999999999999</v>
      </c>
      <c r="G33" s="90">
        <f>971.04+297.5</f>
        <v>1268.54</v>
      </c>
      <c r="H33" s="90">
        <f>57.12+17.5</f>
        <v>74.62</v>
      </c>
      <c r="I33" s="90">
        <f>114.24+35</f>
        <v>149.24</v>
      </c>
      <c r="J33" s="90">
        <v>0</v>
      </c>
      <c r="L33" s="89"/>
    </row>
    <row r="34" spans="1:12" ht="12.75">
      <c r="A34" s="142"/>
      <c r="B34" s="143"/>
      <c r="C34" s="143"/>
      <c r="D34" s="144"/>
      <c r="E34" s="90" t="s">
        <v>146</v>
      </c>
      <c r="F34" s="90">
        <f t="shared" si="1"/>
        <v>1560</v>
      </c>
      <c r="G34" s="90">
        <v>1326</v>
      </c>
      <c r="H34" s="90">
        <v>78</v>
      </c>
      <c r="I34" s="90">
        <v>156</v>
      </c>
      <c r="J34" s="90">
        <v>0</v>
      </c>
      <c r="L34" s="89"/>
    </row>
    <row r="35" spans="1:18" ht="12.75">
      <c r="A35" s="79"/>
      <c r="B35" s="79"/>
      <c r="C35" s="79"/>
      <c r="D35" s="79"/>
      <c r="E35" s="79"/>
      <c r="F35" s="96"/>
      <c r="G35" s="96"/>
      <c r="H35" s="96"/>
      <c r="I35" s="96"/>
      <c r="J35" s="96"/>
      <c r="R35" s="89"/>
    </row>
    <row r="36" spans="1:10" ht="24">
      <c r="A36" s="145" t="s">
        <v>8</v>
      </c>
      <c r="B36" s="86" t="s">
        <v>130</v>
      </c>
      <c r="C36" s="97" t="s">
        <v>131</v>
      </c>
      <c r="D36" s="148" t="s">
        <v>132</v>
      </c>
      <c r="E36" s="151">
        <v>19143964.4</v>
      </c>
      <c r="F36" s="134">
        <f>SUM(F42)</f>
        <v>19085840.029999997</v>
      </c>
      <c r="G36" s="134">
        <f>SUM(G42)</f>
        <v>13694558.689999998</v>
      </c>
      <c r="H36" s="134">
        <f>SUM(H42)</f>
        <v>2416686.8299999996</v>
      </c>
      <c r="I36" s="134">
        <f>SUM(I42)</f>
        <v>0</v>
      </c>
      <c r="J36" s="134">
        <f>SUM(J42)</f>
        <v>2974594.5100000002</v>
      </c>
    </row>
    <row r="37" spans="1:10" ht="12.75" customHeight="1">
      <c r="A37" s="146"/>
      <c r="B37" s="136" t="s">
        <v>133</v>
      </c>
      <c r="C37" s="137"/>
      <c r="D37" s="149"/>
      <c r="E37" s="135"/>
      <c r="F37" s="135"/>
      <c r="G37" s="135"/>
      <c r="H37" s="135"/>
      <c r="I37" s="135"/>
      <c r="J37" s="135"/>
    </row>
    <row r="38" spans="1:10" ht="12.75">
      <c r="A38" s="146"/>
      <c r="B38" s="138"/>
      <c r="C38" s="139"/>
      <c r="D38" s="149"/>
      <c r="E38" s="135"/>
      <c r="F38" s="135"/>
      <c r="G38" s="135"/>
      <c r="H38" s="135"/>
      <c r="I38" s="135"/>
      <c r="J38" s="135"/>
    </row>
    <row r="39" spans="1:10" ht="12.75">
      <c r="A39" s="146"/>
      <c r="B39" s="138"/>
      <c r="C39" s="139"/>
      <c r="D39" s="149"/>
      <c r="E39" s="135"/>
      <c r="F39" s="135"/>
      <c r="G39" s="135"/>
      <c r="H39" s="135"/>
      <c r="I39" s="135"/>
      <c r="J39" s="135"/>
    </row>
    <row r="40" spans="1:10" ht="12.75">
      <c r="A40" s="146"/>
      <c r="B40" s="138"/>
      <c r="C40" s="139"/>
      <c r="D40" s="149"/>
      <c r="E40" s="135"/>
      <c r="F40" s="135"/>
      <c r="G40" s="135"/>
      <c r="H40" s="135"/>
      <c r="I40" s="135"/>
      <c r="J40" s="135"/>
    </row>
    <row r="41" spans="1:10" ht="12.75">
      <c r="A41" s="146"/>
      <c r="B41" s="138"/>
      <c r="C41" s="139"/>
      <c r="D41" s="149"/>
      <c r="E41" s="135"/>
      <c r="F41" s="135"/>
      <c r="G41" s="135"/>
      <c r="H41" s="135"/>
      <c r="I41" s="135"/>
      <c r="J41" s="135"/>
    </row>
    <row r="42" spans="1:12" ht="42" customHeight="1">
      <c r="A42" s="147"/>
      <c r="B42" s="140"/>
      <c r="C42" s="141"/>
      <c r="D42" s="150"/>
      <c r="E42" s="90" t="s">
        <v>134</v>
      </c>
      <c r="F42" s="90">
        <f>SUM(G42:J42)</f>
        <v>19085840.029999997</v>
      </c>
      <c r="G42" s="90">
        <f>9340077.27+4348810.22+5671.2</f>
        <v>13694558.689999998</v>
      </c>
      <c r="H42" s="90">
        <f>1648248.94+767437.09+1000.8</f>
        <v>2416686.8299999996</v>
      </c>
      <c r="I42" s="90">
        <v>0</v>
      </c>
      <c r="J42" s="98">
        <f>2612684.22+361910.29</f>
        <v>2974594.5100000002</v>
      </c>
      <c r="L42" s="89"/>
    </row>
    <row r="43" spans="1:12" ht="12.75">
      <c r="A43" s="99"/>
      <c r="B43" s="99"/>
      <c r="C43" s="99"/>
      <c r="D43" s="99"/>
      <c r="E43" s="99"/>
      <c r="F43" s="79"/>
      <c r="G43" s="79"/>
      <c r="H43" s="79"/>
      <c r="I43" s="79"/>
      <c r="J43" s="100"/>
      <c r="L43" s="89"/>
    </row>
    <row r="44" spans="1:12" ht="33.75">
      <c r="A44" s="145" t="s">
        <v>6</v>
      </c>
      <c r="B44" s="86" t="s">
        <v>135</v>
      </c>
      <c r="C44" s="101" t="s">
        <v>136</v>
      </c>
      <c r="D44" s="148" t="s">
        <v>137</v>
      </c>
      <c r="E44" s="151">
        <v>4174826.06</v>
      </c>
      <c r="F44" s="134">
        <f>SUM(F50)</f>
        <v>1610113.5</v>
      </c>
      <c r="G44" s="134">
        <f>SUM(G50)</f>
        <v>956673.82</v>
      </c>
      <c r="H44" s="134">
        <f>SUM(H50)</f>
        <v>168824.8</v>
      </c>
      <c r="I44" s="134">
        <f>SUM(I50)</f>
        <v>0</v>
      </c>
      <c r="J44" s="134">
        <f>SUM(J50)</f>
        <v>484614.88</v>
      </c>
      <c r="L44" s="89"/>
    </row>
    <row r="45" spans="1:12" ht="12.75">
      <c r="A45" s="146"/>
      <c r="B45" s="136" t="s">
        <v>138</v>
      </c>
      <c r="C45" s="137"/>
      <c r="D45" s="149"/>
      <c r="E45" s="135"/>
      <c r="F45" s="135"/>
      <c r="G45" s="135"/>
      <c r="H45" s="135"/>
      <c r="I45" s="135"/>
      <c r="J45" s="135"/>
      <c r="L45" s="89"/>
    </row>
    <row r="46" spans="1:12" ht="12.75">
      <c r="A46" s="146"/>
      <c r="B46" s="138"/>
      <c r="C46" s="139"/>
      <c r="D46" s="149"/>
      <c r="E46" s="135"/>
      <c r="F46" s="135"/>
      <c r="G46" s="135"/>
      <c r="H46" s="135"/>
      <c r="I46" s="135"/>
      <c r="J46" s="135"/>
      <c r="L46" s="89"/>
    </row>
    <row r="47" spans="1:12" ht="12.75">
      <c r="A47" s="146"/>
      <c r="B47" s="138"/>
      <c r="C47" s="139"/>
      <c r="D47" s="149"/>
      <c r="E47" s="135"/>
      <c r="F47" s="135"/>
      <c r="G47" s="135"/>
      <c r="H47" s="135"/>
      <c r="I47" s="135"/>
      <c r="J47" s="135"/>
      <c r="L47" s="89"/>
    </row>
    <row r="48" spans="1:12" ht="12.75">
      <c r="A48" s="146"/>
      <c r="B48" s="138"/>
      <c r="C48" s="139"/>
      <c r="D48" s="149"/>
      <c r="E48" s="135"/>
      <c r="F48" s="135"/>
      <c r="G48" s="135"/>
      <c r="H48" s="135"/>
      <c r="I48" s="135"/>
      <c r="J48" s="135"/>
      <c r="L48" s="89"/>
    </row>
    <row r="49" spans="1:12" ht="12.75">
      <c r="A49" s="146"/>
      <c r="B49" s="138"/>
      <c r="C49" s="139"/>
      <c r="D49" s="149"/>
      <c r="E49" s="135"/>
      <c r="F49" s="135"/>
      <c r="G49" s="135"/>
      <c r="H49" s="135"/>
      <c r="I49" s="135"/>
      <c r="J49" s="135"/>
      <c r="L49" s="89"/>
    </row>
    <row r="50" spans="1:12" ht="12.75">
      <c r="A50" s="147"/>
      <c r="B50" s="140"/>
      <c r="C50" s="141"/>
      <c r="D50" s="150"/>
      <c r="E50" s="90" t="s">
        <v>139</v>
      </c>
      <c r="F50" s="90">
        <f>SUM(G50:J50)</f>
        <v>1610113.5</v>
      </c>
      <c r="G50" s="90">
        <v>956673.82</v>
      </c>
      <c r="H50" s="90">
        <v>168824.8</v>
      </c>
      <c r="I50" s="90">
        <v>0</v>
      </c>
      <c r="J50" s="102">
        <v>484614.88</v>
      </c>
      <c r="L50" s="89"/>
    </row>
    <row r="51" ht="12.75">
      <c r="L51" s="89"/>
    </row>
    <row r="52" spans="1:12" ht="22.5">
      <c r="A52" s="145" t="s">
        <v>21</v>
      </c>
      <c r="B52" s="86" t="s">
        <v>140</v>
      </c>
      <c r="C52" s="101" t="s">
        <v>141</v>
      </c>
      <c r="D52" s="148" t="s">
        <v>137</v>
      </c>
      <c r="E52" s="151">
        <v>2302610.22</v>
      </c>
      <c r="F52" s="134">
        <f>SUM(F58)</f>
        <v>109792.54</v>
      </c>
      <c r="G52" s="134">
        <f>SUM(G58)</f>
        <v>66257</v>
      </c>
      <c r="H52" s="134">
        <f>SUM(H58)</f>
        <v>37871.74</v>
      </c>
      <c r="I52" s="134">
        <f>SUM(I58)</f>
        <v>0</v>
      </c>
      <c r="J52" s="134">
        <f>SUM(J58)</f>
        <v>5663.8</v>
      </c>
      <c r="L52" s="89"/>
    </row>
    <row r="53" spans="1:12" ht="12.75">
      <c r="A53" s="146"/>
      <c r="B53" s="136" t="s">
        <v>142</v>
      </c>
      <c r="C53" s="137"/>
      <c r="D53" s="149"/>
      <c r="E53" s="135"/>
      <c r="F53" s="135"/>
      <c r="G53" s="135"/>
      <c r="H53" s="135"/>
      <c r="I53" s="135"/>
      <c r="J53" s="135"/>
      <c r="L53" s="89"/>
    </row>
    <row r="54" spans="1:12" ht="12.75">
      <c r="A54" s="146"/>
      <c r="B54" s="138"/>
      <c r="C54" s="139"/>
      <c r="D54" s="149"/>
      <c r="E54" s="135"/>
      <c r="F54" s="135"/>
      <c r="G54" s="135"/>
      <c r="H54" s="135"/>
      <c r="I54" s="135"/>
      <c r="J54" s="135"/>
      <c r="L54" s="89"/>
    </row>
    <row r="55" spans="1:12" ht="12.75">
      <c r="A55" s="146"/>
      <c r="B55" s="138"/>
      <c r="C55" s="139"/>
      <c r="D55" s="149"/>
      <c r="E55" s="135"/>
      <c r="F55" s="135"/>
      <c r="G55" s="135"/>
      <c r="H55" s="135"/>
      <c r="I55" s="135"/>
      <c r="J55" s="135"/>
      <c r="L55" s="89"/>
    </row>
    <row r="56" spans="1:12" ht="12.75">
      <c r="A56" s="146"/>
      <c r="B56" s="138"/>
      <c r="C56" s="139"/>
      <c r="D56" s="149"/>
      <c r="E56" s="135"/>
      <c r="F56" s="135"/>
      <c r="G56" s="135"/>
      <c r="H56" s="135"/>
      <c r="I56" s="135"/>
      <c r="J56" s="135"/>
      <c r="L56" s="89"/>
    </row>
    <row r="57" spans="1:12" ht="12.75">
      <c r="A57" s="146"/>
      <c r="B57" s="138"/>
      <c r="C57" s="139"/>
      <c r="D57" s="149"/>
      <c r="E57" s="135"/>
      <c r="F57" s="135"/>
      <c r="G57" s="135"/>
      <c r="H57" s="135"/>
      <c r="I57" s="135"/>
      <c r="J57" s="135"/>
      <c r="L57" s="89"/>
    </row>
    <row r="58" spans="1:12" ht="12.75">
      <c r="A58" s="147"/>
      <c r="B58" s="140"/>
      <c r="C58" s="141"/>
      <c r="D58" s="150"/>
      <c r="E58" s="90" t="s">
        <v>143</v>
      </c>
      <c r="F58" s="90">
        <f>SUM(G58:J58)</f>
        <v>109792.54</v>
      </c>
      <c r="G58" s="90">
        <f>64327.5+1929.5</f>
        <v>66257</v>
      </c>
      <c r="H58" s="90">
        <f>36768.36+1103.38</f>
        <v>37871.74</v>
      </c>
      <c r="I58" s="90">
        <v>0</v>
      </c>
      <c r="J58" s="102">
        <v>5663.8</v>
      </c>
      <c r="L58" s="89"/>
    </row>
    <row r="59" ht="12.75">
      <c r="L59" s="89"/>
    </row>
  </sheetData>
  <sheetProtection/>
  <mergeCells count="59">
    <mergeCell ref="A6:I6"/>
    <mergeCell ref="A8:A13"/>
    <mergeCell ref="B8:B12"/>
    <mergeCell ref="C8:C12"/>
    <mergeCell ref="D8:D13"/>
    <mergeCell ref="E8:E13"/>
    <mergeCell ref="F8:J10"/>
    <mergeCell ref="F11:F13"/>
    <mergeCell ref="G11:G13"/>
    <mergeCell ref="H11:H13"/>
    <mergeCell ref="I11:I13"/>
    <mergeCell ref="J11:J13"/>
    <mergeCell ref="B13:C13"/>
    <mergeCell ref="E15:E16"/>
    <mergeCell ref="F15:F16"/>
    <mergeCell ref="G15:G16"/>
    <mergeCell ref="H15:H16"/>
    <mergeCell ref="I15:I16"/>
    <mergeCell ref="N16:N17"/>
    <mergeCell ref="J15:J16"/>
    <mergeCell ref="E25:E26"/>
    <mergeCell ref="F25:F26"/>
    <mergeCell ref="G25:G26"/>
    <mergeCell ref="H25:H26"/>
    <mergeCell ref="I25:I26"/>
    <mergeCell ref="J25:J26"/>
    <mergeCell ref="H44:H49"/>
    <mergeCell ref="A36:A42"/>
    <mergeCell ref="D36:D42"/>
    <mergeCell ref="E36:E41"/>
    <mergeCell ref="F36:F41"/>
    <mergeCell ref="G36:G41"/>
    <mergeCell ref="H52:H57"/>
    <mergeCell ref="I52:I57"/>
    <mergeCell ref="H36:H41"/>
    <mergeCell ref="I36:I41"/>
    <mergeCell ref="J36:J41"/>
    <mergeCell ref="B37:C42"/>
    <mergeCell ref="D44:D50"/>
    <mergeCell ref="E44:E49"/>
    <mergeCell ref="F44:F49"/>
    <mergeCell ref="G44:G49"/>
    <mergeCell ref="B45:C50"/>
    <mergeCell ref="A52:A58"/>
    <mergeCell ref="D52:D58"/>
    <mergeCell ref="E52:E57"/>
    <mergeCell ref="F52:F57"/>
    <mergeCell ref="G52:G57"/>
    <mergeCell ref="A44:A50"/>
    <mergeCell ref="J52:J57"/>
    <mergeCell ref="B53:C58"/>
    <mergeCell ref="A15:A23"/>
    <mergeCell ref="B16:C23"/>
    <mergeCell ref="D15:D23"/>
    <mergeCell ref="A25:A34"/>
    <mergeCell ref="B26:C34"/>
    <mergeCell ref="D25:D34"/>
    <mergeCell ref="I44:I49"/>
    <mergeCell ref="J44:J49"/>
  </mergeCells>
  <printOptions/>
  <pageMargins left="0.7" right="0.7" top="0.75" bottom="0.75" header="0.3" footer="0.3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Hzastrozna</cp:lastModifiedBy>
  <cp:lastPrinted>2020-01-20T08:14:40Z</cp:lastPrinted>
  <dcterms:created xsi:type="dcterms:W3CDTF">1997-02-26T13:46:56Z</dcterms:created>
  <dcterms:modified xsi:type="dcterms:W3CDTF">2020-01-24T07:40:44Z</dcterms:modified>
  <cp:category/>
  <cp:version/>
  <cp:contentType/>
  <cp:contentStatus/>
</cp:coreProperties>
</file>