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445" activeTab="2"/>
  </bookViews>
  <sheets>
    <sheet name="inwestycje  " sheetId="1" r:id="rId1"/>
    <sheet name="dotacje z budżetu" sheetId="2" r:id="rId2"/>
    <sheet name="unijny" sheetId="3" r:id="rId3"/>
    <sheet name="fundusz sołecki" sheetId="4" r:id="rId4"/>
  </sheets>
  <definedNames>
    <definedName name="_xlnm.Print_Titles" localSheetId="0">'inwestycje  '!$9:$11</definedName>
  </definedNames>
  <calcPr fullCalcOnLoad="1"/>
</workbook>
</file>

<file path=xl/sharedStrings.xml><?xml version="1.0" encoding="utf-8"?>
<sst xmlns="http://schemas.openxmlformats.org/spreadsheetml/2006/main" count="411" uniqueCount="319">
  <si>
    <t>RAZEM</t>
  </si>
  <si>
    <t>010</t>
  </si>
  <si>
    <t>Załącznik nr 5</t>
  </si>
  <si>
    <t>WYKAZ GMINNYCH WYDATKÓW MAJĄTKOWYCH NA 2019 r.</t>
  </si>
  <si>
    <t>Lp.</t>
  </si>
  <si>
    <t>Nazwa</t>
  </si>
  <si>
    <t>Wysokość wydatków w 2019r.</t>
  </si>
  <si>
    <t>Data rozpocz.  inwestycji</t>
  </si>
  <si>
    <t>Przewid.termin zakończenia inwestycji</t>
  </si>
  <si>
    <t>Źródła finansowania inwestycji w tym:</t>
  </si>
  <si>
    <t>z budżetu</t>
  </si>
  <si>
    <t>inne</t>
  </si>
  <si>
    <t>1.</t>
  </si>
  <si>
    <r>
      <t xml:space="preserve">"Piotrowo Drugie - plac dla juniora i seniora" - zagospodarowanie centrum wsi Piotrowo Drugie w ramach konkursu "Pięknieje Wielkopolska Wieś" /01095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6050, w tym 4.000 zł Fundusz Sołecki wioski/</t>
    </r>
  </si>
  <si>
    <t>2019</t>
  </si>
  <si>
    <t>w tym:</t>
  </si>
  <si>
    <t>dotacja z Województwa Wlkp</t>
  </si>
  <si>
    <t>2.</t>
  </si>
  <si>
    <r>
      <t xml:space="preserve">"Pięknieją Gorzyce integrując okolice" - zagospodarowanie centrum wsi Gorzyce w ramach konkursu "Pięknieje Wielkopolska Wieś" /01095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6050, w tym 10.000 zł Fundusz Sołecki wioski/</t>
    </r>
  </si>
  <si>
    <t>3.</t>
  </si>
  <si>
    <r>
      <t xml:space="preserve">Budowa drogi dojazdowej do gruntów rolnych w Nowym Tarnowie /01042 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6050, w tym 8.352,82 z funduszu sołeckiego wioski/</t>
    </r>
  </si>
  <si>
    <t>pomoc finansowa z Samorzadu Województwa Wlkp</t>
  </si>
  <si>
    <t>4.</t>
  </si>
  <si>
    <r>
      <t xml:space="preserve">Przebudowa ulicy Wspólnej w Czempiniu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</si>
  <si>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2018</t>
  </si>
  <si>
    <t>5.</t>
  </si>
  <si>
    <t>Przebudowa drogi w Borowie w stronę Pałacu - etap I /60016 § 6050/</t>
  </si>
  <si>
    <t>6.</t>
  </si>
  <si>
    <t xml:space="preserve">Budowa chodnika w Starym Tarnowie  - przedłużenie ul.Polnej /60016 § 6050/  FS 12.333,64 </t>
  </si>
  <si>
    <t>7.</t>
  </si>
  <si>
    <t>8.</t>
  </si>
  <si>
    <r>
      <t xml:space="preserve">Projekt budowy kanalizacji deszczowej od. ul. Kwiatowej w Piotrkowicach przez ul. Zachodnią do ul. Kościańskie Przedmieście w Czempiniu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</si>
  <si>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9.</t>
  </si>
  <si>
    <t>Projekt budowy ulicy Kwiatowej w Czempiniu i Piotrkowicach oraz przebudowy ulicy Wiatrakowej i jej skrzyżowania z ulicą Stęszewską w Czempiniu. /60016 § 6050/</t>
  </si>
  <si>
    <t>10.</t>
  </si>
  <si>
    <t>Budowa łącznika pomiędzy ulicą Przedszkolną a ulicą Jeździecką w Czempiniu na osiedlu Nr 6. /60016 § 6050/</t>
  </si>
  <si>
    <t>11.</t>
  </si>
  <si>
    <t>Przebudowa linii energetycznej napowietrznej na ul. Łąkowej w Czempiniu /60016 § 6050/</t>
  </si>
  <si>
    <t>12.</t>
  </si>
  <si>
    <t>13.</t>
  </si>
  <si>
    <t>14.</t>
  </si>
  <si>
    <t>Przebudowa drogi w Borowie w stronę pałacu - etap I (projekt) /60016 § 6050/</t>
  </si>
  <si>
    <t>15.</t>
  </si>
  <si>
    <r>
      <t xml:space="preserve">Budowa ulicy Łąkowej w Czempiniu wraz z budową oświetlenia ulicznego.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</si>
  <si>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dotacja z budżetu państwa</t>
  </si>
  <si>
    <t>16.</t>
  </si>
  <si>
    <r>
      <t xml:space="preserve">Projekt przebudowy przepustów na rowach melioracyjnych w Jarogniewicach.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</si>
  <si>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17.</t>
  </si>
  <si>
    <r>
      <t xml:space="preserve">Projekt budowy ulicy Adama Mickiewicza i fragmentu ulicy Stefana Żeromskiego w Czempiniu oraz budowy drogi w Starym Tarnowie od ulicy Śremskiej do ulicy Juliusza Słowackiego 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</si>
  <si>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18.</t>
  </si>
  <si>
    <t xml:space="preserve">Budowa chodnika na terenie wsi Bieczyny    /60016 § 6050/   FS                </t>
  </si>
  <si>
    <t>19.</t>
  </si>
  <si>
    <t>Budowa chodnika i chodników z dopuszczeniem ruchu rowerowego wraz z oświetleniem w postaci lamp solarnych i inteligentną ławką solarną na terenie gminy Czempiń /60016 § 6050,6058,6059/</t>
  </si>
  <si>
    <t>środki unijne</t>
  </si>
  <si>
    <t>20.</t>
  </si>
  <si>
    <t xml:space="preserve">Budowa ścieżki pieszo-rowerowej wraz z projektem i oświetleniem od ulicy Borówko Stare  do ul. Wybickiego na osiedlu nr 5 /60016 § 6050, w tym 12.412,45 zł z funduszu osiedla/  </t>
  </si>
  <si>
    <t>21.</t>
  </si>
  <si>
    <r>
      <t xml:space="preserve">Projekt rozbudowy drogi wojewóddzkiej 311 - ścieżka pieszo-rowerowa od skrzyżowania z ul.Spółdzielców w Czempiniu  do końca wsi Jasień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</si>
  <si>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22.</t>
  </si>
  <si>
    <t>23.</t>
  </si>
  <si>
    <t>Czempiński szlak turystyczny "Czempiń na szklanych pocztówkach"/63003 § 6050/</t>
  </si>
  <si>
    <t>24.</t>
  </si>
  <si>
    <t>25.</t>
  </si>
  <si>
    <t>Zakup nieruchomości gruntowej niezabudowanej w Starym Tarnowie  /70005 § 6060/</t>
  </si>
  <si>
    <t>26.</t>
  </si>
  <si>
    <t>Zakup nieruchomości gruntowej zabudowanej w Gorzycach nr 16A  /70005 § 6060/</t>
  </si>
  <si>
    <t>27.</t>
  </si>
  <si>
    <t>Zakup nieruchomości gruntowej niezabudowanej w Gorzycach  /70005 § 6060/</t>
  </si>
  <si>
    <t>28.</t>
  </si>
  <si>
    <t>Wykup gruntów pod drogi i inne  /70005 §6060/</t>
  </si>
  <si>
    <t>29.</t>
  </si>
  <si>
    <t>30.</t>
  </si>
  <si>
    <t>Wydatki na zakup udziałów Gminy Czempiń w Samorządowym Funduszu Poręczeń Kredytowych Sp. z o.o.  /75095 § 6010/</t>
  </si>
  <si>
    <t>31.</t>
  </si>
  <si>
    <t>Budżet obywatelski (projekt duży i mały)  / 75095 § 6050/</t>
  </si>
  <si>
    <t>32.</t>
  </si>
  <si>
    <t>Wpłata na państwowy fundusz celowy - z przeznaczeniem dla Komendy Powiatowej PSP w Kościanie na modernizację systemu łączności w powiecie kościańskim. /75411 § 6170/</t>
  </si>
  <si>
    <t>33.</t>
  </si>
  <si>
    <t>Dotacja na budowę strażnicy OSP w Srocku Wielkim     /75412 § 6230/</t>
  </si>
  <si>
    <t>34.</t>
  </si>
  <si>
    <r>
      <t xml:space="preserve">Dotacja dla SP ZOZ w Kościanie na dofinansowanie zakupu ambulansu medycznego /85111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6220/</t>
    </r>
  </si>
  <si>
    <t>35.</t>
  </si>
  <si>
    <t>Odpłatne przyjęcie urządzeń wodno-kanalizacyjknych od osób fizycznych i prawnych /90001 § 6050/</t>
  </si>
  <si>
    <t>36.</t>
  </si>
  <si>
    <t>Rezerwa celowa na wydatki majątkowe. 75818 § 6800/</t>
  </si>
  <si>
    <t>37.</t>
  </si>
  <si>
    <r>
      <t xml:space="preserve">Wykonanie opaski wokół budynku sali sportowej oraz elementów zagospodarowania terenu: ławek oraz koszy na śmieci.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</si>
  <si>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38.</t>
  </si>
  <si>
    <r>
      <t xml:space="preserve">Modernizacja pomieszczeń szkolnych w Szkole Podstawowej w Głuchowie 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</si>
  <si>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39.</t>
  </si>
  <si>
    <r>
      <t xml:space="preserve">Zakup samochodu do dowozu wyżywienia do filli SP w Czempiniu i do oddziałów przedszkolnych oraz dowozu książek z biblioteki publicznej /80195, 92195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</si>
  <si>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40.</t>
  </si>
  <si>
    <r>
      <t xml:space="preserve">Związany z zadaniem "Doposażenie pracowni, wsparcie dla nauczycieli oraz zajęcia dodatkowe dla uczniów Szkoły Podstawowej w Czempiniu oraz Gimnazjum w Borowie" zwrot dotacji otrzymanej w 2018 roku /80110 § 6667, 80110 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6669/</t>
    </r>
  </si>
  <si>
    <t>41.</t>
  </si>
  <si>
    <r>
      <t xml:space="preserve">Dotacja dla Powiatu Kościańskiego na zakup samochodu dla Ośrodka Rehabilitacyjnego /85117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6300/</t>
    </r>
  </si>
  <si>
    <t>42.</t>
  </si>
  <si>
    <t>Projekt budowy kanalizacji pomiędzy Piotrowem Pierwszym a Głuchowem wraz z budową pompowni w Piotrowie Pierwszym. /90001 § 6050/</t>
  </si>
  <si>
    <t>43.</t>
  </si>
  <si>
    <r>
      <t xml:space="preserve">Budowa kanalizacji sanitarnej w Gorzycach, Gorzyczkach i Nowym Gołębinie /90001 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6050/</t>
    </r>
  </si>
  <si>
    <t>44.</t>
  </si>
  <si>
    <t>Dotacje dla podmiotów spoza sektora finansów publicznych na dofinansowanie budowy przyłącza do kanalizacji sanitarnej /90001 § 6230/</t>
  </si>
  <si>
    <t>45.</t>
  </si>
  <si>
    <t>Dotacje dla podmiotów spoza sektora finansów publicznych na dofinansowanie budowy przydomowych oczyszczalni ścieków /90001 § 6230/</t>
  </si>
  <si>
    <t>46.</t>
  </si>
  <si>
    <t>Wspieranie korzystania z odnawialnych źródeł energii - dotacje dla podmiotów spoza sektora finansów publicznych na dofinansowanie zakupu i montażu lub wymiany żródeł energii /90005 § 6230/</t>
  </si>
  <si>
    <t>47.</t>
  </si>
  <si>
    <t>Rozbudowa oświetlenia ulicznego  /90015 § 6050/</t>
  </si>
  <si>
    <t>48.</t>
  </si>
  <si>
    <t>Zakup i montaż lampy solarnej we wsi Zadory - rozbudowa oświetlenia ulicznego /90015 § 6050/ FS</t>
  </si>
  <si>
    <t>49.</t>
  </si>
  <si>
    <t>Zakup i montaż lampy solarnej we wsi Donatowo - rozbudowa oświetlenia ulicznego /90015 § 6050/ FS</t>
  </si>
  <si>
    <t>50.</t>
  </si>
  <si>
    <t>Zakup i montaż lampy solarnej we wsi Sierniki - rozbudowa oświetlenia ulicznego/90015 § 6050/  FS</t>
  </si>
  <si>
    <t>51.</t>
  </si>
  <si>
    <t>Zakup i montaż lampy solarnej we wsi Nowe Borówko - rozbudowa oświetlenia ulicznego /90015 § 6050/ FS</t>
  </si>
  <si>
    <t>52.</t>
  </si>
  <si>
    <r>
      <t xml:space="preserve">Monitoring wizyjny miejsca zdeponowania odpadów przy ul. Kolejowej w Czempiniu /90026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</si>
  <si>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53.</t>
  </si>
  <si>
    <t>Przebudowa z modernizacją świetlicy w Gorzycach wraz z zagospodarowaniem terenu  /92109 § 6050,6058,6059/</t>
  </si>
  <si>
    <t>54.</t>
  </si>
  <si>
    <t>Przebudowa z modernizacją świetlicy w Gorzycach wraz z zagospodarowaniem terenu wymiana konstrukcji i pokrycia dachu /92109 § 6050/</t>
  </si>
  <si>
    <t>55.</t>
  </si>
  <si>
    <t>Przebudowa budynku dawnej szkoły na świetlicę wiejską w Piechaninie.  /92109 § 6050,6058,6059/</t>
  </si>
  <si>
    <t>56.</t>
  </si>
  <si>
    <t>Przebudowa budynku dawnej szkoły na świetlicę wiejską w Piechaninie - prace uzupełniające /92109 § 6050, w tym FS wsi Piechanin kwota 23.962,37 zł/</t>
  </si>
  <si>
    <t>57.</t>
  </si>
  <si>
    <r>
      <t xml:space="preserve">Projekt przebudowy wraz z termomodernizacją świetlicy wiejskiej w Jasieniu /92109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 FS</t>
    </r>
  </si>
  <si>
    <t>58.</t>
  </si>
  <si>
    <r>
      <t xml:space="preserve">Budowa wiaty we wsi Jarogniewice  /92195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  FS</t>
    </r>
  </si>
  <si>
    <t>59.</t>
  </si>
  <si>
    <t>60.</t>
  </si>
  <si>
    <r>
      <t xml:space="preserve">Budowa Otwartej Strefy Rekreacji nad rzeką Olszynka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</si>
  <si>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dotacja z FRKF</t>
  </si>
  <si>
    <t>61.</t>
  </si>
  <si>
    <r>
      <t xml:space="preserve">Zakup piłkochwytów na boisko As-a w Czempiniu.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</si>
  <si>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62.</t>
  </si>
  <si>
    <t>Projekt i wykonanie oświetlenia na stadionie w Czempiniu /92695 § 6050/</t>
  </si>
  <si>
    <t>63.</t>
  </si>
  <si>
    <t>Budowa altany (wiaty) na stadionie w Głuchowie wraz z wyposażeniem /92695 § 6050/ FS</t>
  </si>
  <si>
    <t>Zakup elementu siłowni zewnętrznej z funduszu wsi Piotrowo Pierwsze /92695 § 6060/  FS</t>
  </si>
  <si>
    <r>
      <t xml:space="preserve">Dostawa i montaż altany na placu zabaw na os. Nr 6 w Czempiniu /92695 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6050, w tym 10.976,45 zł z funduszu osiedla/</t>
    </r>
  </si>
  <si>
    <t>Razem:</t>
  </si>
  <si>
    <t xml:space="preserve">Limity wydatków na programy i projekty realizowane ze środków o których mowa w art. 5 ust. 1 pkt. 2 i 3 ustawy z dnia 27 sierpnia 2009r. o finansach publicznych </t>
  </si>
  <si>
    <t xml:space="preserve">Rozdział </t>
  </si>
  <si>
    <t>Okres realizacji projektu</t>
  </si>
  <si>
    <t>Łączne nakłady finansowe/klasyfikacja budżetowa</t>
  </si>
  <si>
    <t>Wysokość wydatków w roku 2019</t>
  </si>
  <si>
    <t>Razem</t>
  </si>
  <si>
    <t>Środki z budżetu UE</t>
  </si>
  <si>
    <t>Środki własne kwalifikowalne</t>
  </si>
  <si>
    <t>Współfinansowanie z budżetu Państwa</t>
  </si>
  <si>
    <t>Środki własne niekwalifikowalne</t>
  </si>
  <si>
    <t>Nazwa projektu, jednostka realizująca</t>
  </si>
  <si>
    <t>Rozdział 92109</t>
  </si>
  <si>
    <t>Domy i ośrodki kultury, świetlice i kluby</t>
  </si>
  <si>
    <t>"Przebudowa z modernizacją świetlicy w Gorzycach wraz z zagospodarowaniem terenu"                                                             Urząd Gminy w Czempiniu</t>
  </si>
  <si>
    <t>92109 par. 605</t>
  </si>
  <si>
    <t>Rozdział 80101, 80110</t>
  </si>
  <si>
    <t>Szkoły podstawowe, Gimnazja</t>
  </si>
  <si>
    <t>2017        -              2020</t>
  </si>
  <si>
    <t>"Doposażenie pracowni, wsparcie dla nauczycieli oraz zajęcia dodatkowe dla uczniów Szkoły Podstawowej w Czempiniu
oraz Gimnazjum w Borowie"                                                                                                 Urząd Gminy w Czempiniu</t>
  </si>
  <si>
    <t>80101 par. 401</t>
  </si>
  <si>
    <t>80101 par. 411</t>
  </si>
  <si>
    <t>80101 par. 412</t>
  </si>
  <si>
    <t>80101 par. 417</t>
  </si>
  <si>
    <t>80101 par. 421</t>
  </si>
  <si>
    <t>80101 par. 424</t>
  </si>
  <si>
    <t>80101 par. 430</t>
  </si>
  <si>
    <t>80101 par. 470</t>
  </si>
  <si>
    <t>80110 par. 401</t>
  </si>
  <si>
    <t>80110 par. 411</t>
  </si>
  <si>
    <t>80110 par. 412</t>
  </si>
  <si>
    <t>80110 par. 417</t>
  </si>
  <si>
    <t>80110 par. 421</t>
  </si>
  <si>
    <t>80110 par. 424</t>
  </si>
  <si>
    <t>80110 par. 430</t>
  </si>
  <si>
    <t>80110 par. 470</t>
  </si>
  <si>
    <t>Rozdział 80101</t>
  </si>
  <si>
    <t>Szkoły podstawowe</t>
  </si>
  <si>
    <t>2018         -         2020</t>
  </si>
  <si>
    <t>"Poprawa warunków dydaktycznych w SP w Głuchowie poprzez doposażenie pracowni, wsparcie dla nauczycieli oraz zajęcia dodatkowe dla uczniów"                                                                                                 Urząd Gminy w Czempiniu</t>
  </si>
  <si>
    <t>Rozdział 60016</t>
  </si>
  <si>
    <t>Drogi publiczne gminne</t>
  </si>
  <si>
    <t>"Budowa chodnika i chodników z dopuszczeniem ruchu rowerowego wraz z oświetleniem w postaci lamp solarnych i inteligentną ławką solarną na terenie gminy Czempiń"                                                          Urząd Gminy w Czempiniu</t>
  </si>
  <si>
    <t>60016 par. 605</t>
  </si>
  <si>
    <t>Rozdział 75095</t>
  </si>
  <si>
    <t>Pozostała działałność</t>
  </si>
  <si>
    <t>2019      -          2020</t>
  </si>
  <si>
    <t>"Rewitalizacja społeczna, przestrzenno-funkcjonalna, środowiskowa i techniczna Miasta Czempinia poprzez utworzenie Centrum Aktywizacji Społecznej, zielonej enklawy miasta, ogólnodostępnych stref rekreacji, ciagów komunikacyjnych oraz budowę monitoringu"                                               Urząd Gminy w Czempiniu</t>
  </si>
  <si>
    <t>75095 par. 605</t>
  </si>
  <si>
    <t>"Przebudowa budynku dawnej szkoły na świetlicę wiejską w Piechaninie"                                               Urząd Gminy w Czempiniu</t>
  </si>
  <si>
    <t>Rozdział 70005</t>
  </si>
  <si>
    <t>Gospodarka gruntami i nieruchomościami</t>
  </si>
  <si>
    <t>2019      -         2021</t>
  </si>
  <si>
    <t>"Uzbrojenie terenu inwestycyjnego w Głuchowie w pobliżu węzła Czempiń na drodze ekspresowej S5"                                               Urząd Gminy w Czempiniu</t>
  </si>
  <si>
    <r>
      <t xml:space="preserve">Uzbrojenie terenu inwestycyjnego w Głuchowie w pobliżu węzła Czempiń na drodze ekspresowej S5 /70005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6057, 6059, 6050/</t>
    </r>
  </si>
  <si>
    <t>Rady Miejskiej w Czempiniu</t>
  </si>
  <si>
    <t>Plan dotacji udzielanych z budżetu Gminy na 2019 rok</t>
  </si>
  <si>
    <t>I Dotacje podmiotowe</t>
  </si>
  <si>
    <t>Dział</t>
  </si>
  <si>
    <t>Rozdz.</t>
  </si>
  <si>
    <t>Par.</t>
  </si>
  <si>
    <t>Kwota</t>
  </si>
  <si>
    <t>Jednostki sektora fin. publ.</t>
  </si>
  <si>
    <t>Jednostki spoza sektora fin. publ.</t>
  </si>
  <si>
    <t>801</t>
  </si>
  <si>
    <t>Oświata i wychowanie</t>
  </si>
  <si>
    <t>80104</t>
  </si>
  <si>
    <t>Przedszkola</t>
  </si>
  <si>
    <t>2540</t>
  </si>
  <si>
    <t>Dotacja podmiotowa z budżetu dla niepublicznej jednostki systemu oświaty</t>
  </si>
  <si>
    <t>Rodzina</t>
  </si>
  <si>
    <t>85505</t>
  </si>
  <si>
    <t>Tworzenie i funkcjonowanie żłobków</t>
  </si>
  <si>
    <t>2580</t>
  </si>
  <si>
    <t>Dotacja podmiotowa z budżetu dla jednostek niezaliczanych do sektora finansów publicznych</t>
  </si>
  <si>
    <t>85506</t>
  </si>
  <si>
    <t>Tworzenie i finkcjonowanie klubów dziecięcych</t>
  </si>
  <si>
    <t>Kultura i ochrona dziedzictwa narodowego</t>
  </si>
  <si>
    <t>92113</t>
  </si>
  <si>
    <t>Centra kultury i sztuki</t>
  </si>
  <si>
    <t>2480</t>
  </si>
  <si>
    <t>Dotacja podmiotowa z budżetu dla samorządowej  instytucji kultury</t>
  </si>
  <si>
    <t>92116</t>
  </si>
  <si>
    <t>Biblioteki</t>
  </si>
  <si>
    <t>Dotacja podmiotowa z budżetu dla samorządowej instytucji kultury</t>
  </si>
  <si>
    <t>II Dotacje celowe</t>
  </si>
  <si>
    <t>Rolnictwo i łowiectwo</t>
  </si>
  <si>
    <t>01008</t>
  </si>
  <si>
    <t>Melioracje wodne</t>
  </si>
  <si>
    <t>2830</t>
  </si>
  <si>
    <t>Dotacja celowa z budżetu na finansowanie lub dofinansowanie zadań zleconych do realizacji pozostałym jednostkom niezaliczanym do sektora finansów publicznych</t>
  </si>
  <si>
    <t>600</t>
  </si>
  <si>
    <t>Transport i łączność</t>
  </si>
  <si>
    <t>60003</t>
  </si>
  <si>
    <t>Krajowe pasażerskie przewozy autobusowe</t>
  </si>
  <si>
    <t>2710</t>
  </si>
  <si>
    <t>Dotacja celowa na pomoc finansową udzielaną między jednostkami samorządu terytorialnego na dofinansowanie własnych zadań bieżących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</si>
  <si>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</si>
  <si>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</si>
  <si>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</si>
  <si>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</si>
  <si>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</si>
  <si>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6230</t>
  </si>
  <si>
    <t>Dotacje celowe z budżetu na finansowanie lub dofinansowanie kosztów realizacji inwestycji i zakupów inwestycyjnych jednostek niezaliczanych do sektora finansów publicznych</t>
  </si>
  <si>
    <t>80195</t>
  </si>
  <si>
    <t>Pozostała działalność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</si>
  <si>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</si>
  <si>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</si>
  <si>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</si>
  <si>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</si>
  <si>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</si>
  <si>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85117</t>
  </si>
  <si>
    <t>Zakłady opiekuńczo - lecznicze i pielęgnacyjno - opiekuńcze</t>
  </si>
  <si>
    <t>6300</t>
  </si>
  <si>
    <t>Dotacja celowa na pomoc finansową udzielaną między jst na dofinansowanie własnych zadań inwestycyjnych i zakupów inwestycyjnych</t>
  </si>
  <si>
    <t>85154</t>
  </si>
  <si>
    <t>Przeciwdziałanie alkoholizmowi</t>
  </si>
  <si>
    <t>85195</t>
  </si>
  <si>
    <t>Pozostałe zadania w zakresie polityki społecznej</t>
  </si>
  <si>
    <t>85311</t>
  </si>
  <si>
    <t>Rehabilitacja zawodowa i społeczna osób niepełnosprawnych</t>
  </si>
  <si>
    <t>Gospodarka komunalna i ochrona środowiska</t>
  </si>
  <si>
    <t>Gospodarka ściekowa i ochrona wód</t>
  </si>
  <si>
    <t>Ochrona powietrza atmosferycznego i klimatu</t>
  </si>
  <si>
    <t>90013</t>
  </si>
  <si>
    <t>Schroniska dla zwierząt</t>
  </si>
  <si>
    <t>2310</t>
  </si>
  <si>
    <t>Dotacje celowe przekazane gminie na zadania bieżące realizowane na podstawie porozumień (umów) między jst</t>
  </si>
  <si>
    <t>90026</t>
  </si>
  <si>
    <t>Pozostałe działania związane z gospodarką odpadami</t>
  </si>
  <si>
    <t>2900</t>
  </si>
  <si>
    <t>Wpłaty gmin i powiatów na rzecz innych jednostek samorządu terytorialnego oraz związków gmin, związków powiatowo-gminnych, związków powiatów, związków metropolitarnych na dofinansowanie zadań bieżących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</si>
  <si>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</si>
  <si>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</si>
  <si>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</si>
  <si>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</si>
  <si>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</si>
  <si>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Kultura fizyczna</t>
  </si>
  <si>
    <t>92605</t>
  </si>
  <si>
    <t>Zadania w zakresie kultury fizycznej i sportu</t>
  </si>
  <si>
    <t>Załącznik nr 3</t>
  </si>
  <si>
    <t>z dnia 28 sierpnia 2019r.</t>
  </si>
  <si>
    <t>Budowa chodnika z dopuszczeniem ruchu rowerowego wraz z budową lamp solarnych - Strefa C Piechanin  /60016 § 6050/</t>
  </si>
  <si>
    <t>Załącznik nr 4</t>
  </si>
  <si>
    <t>Dowożenie uczniów do szkół</t>
  </si>
  <si>
    <r>
      <t xml:space="preserve">Tworzymy szatnię na medal w Czempiniu. /92601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</si>
  <si>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ZESTAWIENIE ŚRODKÓW SOŁECKICH NA 2019 ROK</t>
  </si>
  <si>
    <t>Sołectwo</t>
  </si>
  <si>
    <t>Razem zł</t>
  </si>
  <si>
    <t>W tym: dział, rozdział, paragraf</t>
  </si>
  <si>
    <t>01095</t>
  </si>
  <si>
    <t>01042</t>
  </si>
  <si>
    <t>Betkowo</t>
  </si>
  <si>
    <t>Bieczyny</t>
  </si>
  <si>
    <t>Borowo</t>
  </si>
  <si>
    <t>Donatowo</t>
  </si>
  <si>
    <t>Głuchowo</t>
  </si>
  <si>
    <t>Gorzyce</t>
  </si>
  <si>
    <t>Gorzyczki</t>
  </si>
  <si>
    <t>Jarogniewice</t>
  </si>
  <si>
    <t>Jasień</t>
  </si>
  <si>
    <t>Nowe Borówko</t>
  </si>
  <si>
    <t>Nowe Tarnowo</t>
  </si>
  <si>
    <t>Nowy Gołębin</t>
  </si>
  <si>
    <t>Piechanin</t>
  </si>
  <si>
    <t>Piotrkowice</t>
  </si>
  <si>
    <t>Piotrowo Drugie</t>
  </si>
  <si>
    <t>Piotrowo Pierwsze</t>
  </si>
  <si>
    <t>Sierniki</t>
  </si>
  <si>
    <t>Słonin</t>
  </si>
  <si>
    <t>Srocko Wielkie</t>
  </si>
  <si>
    <t>Stare Tarnowo</t>
  </si>
  <si>
    <t>Stary Gołębin</t>
  </si>
  <si>
    <t>Zadory</t>
  </si>
  <si>
    <t>Załącznik nr 6</t>
  </si>
  <si>
    <t>Rewitalizacja społeczna, przestrzenno-funkcjonalna, środowiskowa i techniczna Miasta Czempinia poprzez utworzenie Centrum Aktywizacji Społecznej, zielonej enklawy miasta, ogólnodostępnych stref rekreacji, ciagów komunikacyjnych oraz budowę monitoringu /75095 § 6050, 6057, 6059/</t>
  </si>
  <si>
    <t>Rewitalizacja społeczna, przestrzenno-funkcjonalna, środowiskowa i techniczna Miasta Czempinia poprzez utworzenie Centrum Aktywizacji Społecznej, zielonej enklawy miasta, ogólnodostępnych stref rekreacji, ciagów komunikacyjnych oraz budowę monitoringu - pozostałe nakłady /75095 § 6050/</t>
  </si>
  <si>
    <t>do uchwały nr XIII/80/19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</si>
</sst>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sz val="9"/>
      <name val="Arial CE"/>
      <family val="0"/>
    </font>
    <font>
      <sz val="8"/>
      <name val="Andalus"/>
      <family val="1"/>
    </font>
    <font>
      <sz val="8"/>
      <name val="Arial"/>
      <family val="2"/>
    </font>
    <font>
      <sz val="7"/>
      <name val="Arial CE"/>
      <family val="0"/>
    </font>
    <font>
      <b/>
      <i/>
      <sz val="14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  <font>
      <b/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8.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" fillId="0" borderId="0" applyNumberFormat="0" applyFill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" fontId="3" fillId="0" borderId="11" xfId="44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44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3" xfId="44" applyNumberFormat="1" applyFont="1" applyFill="1" applyBorder="1" applyAlignment="1">
      <alignment horizontal="right" vertical="center"/>
    </xf>
    <xf numFmtId="4" fontId="3" fillId="0" borderId="11" xfId="44" applyNumberFormat="1" applyFont="1" applyFill="1" applyBorder="1" applyAlignment="1">
      <alignment vertical="center"/>
    </xf>
    <xf numFmtId="4" fontId="3" fillId="0" borderId="12" xfId="44" applyNumberFormat="1" applyFont="1" applyFill="1" applyBorder="1" applyAlignment="1">
      <alignment vertical="center"/>
    </xf>
    <xf numFmtId="4" fontId="3" fillId="0" borderId="13" xfId="44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44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4" fontId="3" fillId="0" borderId="11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3" fillId="0" borderId="13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top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3" fillId="0" borderId="0" xfId="0" applyNumberFormat="1" applyFont="1" applyFill="1" applyAlignment="1">
      <alignment horizontal="right"/>
    </xf>
    <xf numFmtId="0" fontId="0" fillId="0" borderId="0" xfId="55" applyFill="1">
      <alignment/>
      <protection/>
    </xf>
    <xf numFmtId="0" fontId="6" fillId="0" borderId="0" xfId="55" applyFont="1" applyFill="1">
      <alignment/>
      <protection/>
    </xf>
    <xf numFmtId="0" fontId="0" fillId="0" borderId="14" xfId="55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0" fillId="0" borderId="15" xfId="55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0" xfId="55" applyFont="1" applyFill="1" applyBorder="1">
      <alignment/>
      <protection/>
    </xf>
    <xf numFmtId="0" fontId="0" fillId="0" borderId="10" xfId="55" applyFill="1" applyBorder="1">
      <alignment/>
      <protection/>
    </xf>
    <xf numFmtId="0" fontId="6" fillId="0" borderId="10" xfId="55" applyFont="1" applyFill="1" applyBorder="1" applyAlignment="1">
      <alignment wrapText="1"/>
      <protection/>
    </xf>
    <xf numFmtId="0" fontId="3" fillId="0" borderId="10" xfId="55" applyFont="1" applyFill="1" applyBorder="1" applyAlignment="1">
      <alignment horizontal="center" wrapText="1"/>
      <protection/>
    </xf>
    <xf numFmtId="49" fontId="3" fillId="0" borderId="10" xfId="0" applyNumberFormat="1" applyFont="1" applyBorder="1" applyAlignment="1">
      <alignment horizontal="center"/>
    </xf>
    <xf numFmtId="4" fontId="3" fillId="0" borderId="10" xfId="55" applyNumberFormat="1" applyFont="1" applyFill="1" applyBorder="1" applyAlignment="1">
      <alignment horizontal="center" vertical="center"/>
      <protection/>
    </xf>
    <xf numFmtId="4" fontId="3" fillId="0" borderId="10" xfId="55" applyNumberFormat="1" applyFont="1" applyFill="1" applyBorder="1">
      <alignment/>
      <protection/>
    </xf>
    <xf numFmtId="0" fontId="0" fillId="0" borderId="0" xfId="55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wrapText="1"/>
      <protection/>
    </xf>
    <xf numFmtId="0" fontId="0" fillId="0" borderId="0" xfId="55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/>
      <protection/>
    </xf>
    <xf numFmtId="4" fontId="3" fillId="0" borderId="0" xfId="55" applyNumberFormat="1" applyFont="1" applyFill="1" applyBorder="1" applyAlignment="1">
      <alignment horizontal="center" vertical="center"/>
      <protection/>
    </xf>
    <xf numFmtId="0" fontId="0" fillId="0" borderId="0" xfId="55" applyFont="1" applyFill="1" applyAlignment="1">
      <alignment horizontal="center"/>
      <protection/>
    </xf>
    <xf numFmtId="4" fontId="0" fillId="0" borderId="0" xfId="55" applyNumberFormat="1" applyFont="1" applyFill="1" applyAlignment="1">
      <alignment horizontal="center"/>
      <protection/>
    </xf>
    <xf numFmtId="0" fontId="6" fillId="0" borderId="17" xfId="55" applyFont="1" applyFill="1" applyBorder="1" applyAlignment="1">
      <alignment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/>
      <protection/>
    </xf>
    <xf numFmtId="4" fontId="0" fillId="0" borderId="0" xfId="55" applyNumberFormat="1" applyFill="1">
      <alignment/>
      <protection/>
    </xf>
    <xf numFmtId="0" fontId="6" fillId="0" borderId="10" xfId="55" applyFont="1" applyFill="1" applyBorder="1" applyAlignment="1">
      <alignment horizontal="center" wrapText="1"/>
      <protection/>
    </xf>
    <xf numFmtId="0" fontId="0" fillId="0" borderId="0" xfId="55">
      <alignment/>
      <protection/>
    </xf>
    <xf numFmtId="4" fontId="0" fillId="0" borderId="0" xfId="55" applyNumberFormat="1">
      <alignment/>
      <protection/>
    </xf>
    <xf numFmtId="4" fontId="3" fillId="0" borderId="10" xfId="55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11" fillId="33" borderId="11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justify" wrapText="1"/>
    </xf>
    <xf numFmtId="4" fontId="11" fillId="33" borderId="10" xfId="0" applyNumberFormat="1" applyFont="1" applyFill="1" applyBorder="1" applyAlignment="1">
      <alignment horizontal="right" wrapText="1"/>
    </xf>
    <xf numFmtId="0" fontId="13" fillId="0" borderId="11" xfId="0" applyFont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justify" wrapText="1"/>
    </xf>
    <xf numFmtId="4" fontId="13" fillId="0" borderId="10" xfId="0" applyNumberFormat="1" applyFont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justify" wrapText="1"/>
    </xf>
    <xf numFmtId="4" fontId="6" fillId="0" borderId="10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49" fontId="11" fillId="34" borderId="16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justify" wrapText="1"/>
    </xf>
    <xf numFmtId="4" fontId="11" fillId="34" borderId="10" xfId="0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11" xfId="0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12" xfId="0" applyFont="1" applyBorder="1" applyAlignment="1">
      <alignment horizontal="center"/>
    </xf>
    <xf numFmtId="4" fontId="13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13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" fontId="11" fillId="34" borderId="10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0" fontId="56" fillId="35" borderId="18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wrapText="1"/>
    </xf>
    <xf numFmtId="0" fontId="13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/>
    </xf>
    <xf numFmtId="49" fontId="11" fillId="33" borderId="17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49" fontId="11" fillId="34" borderId="17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0" fontId="57" fillId="34" borderId="18" xfId="0" applyFont="1" applyFill="1" applyBorder="1" applyAlignment="1">
      <alignment horizontal="left" vertical="center" wrapText="1"/>
    </xf>
    <xf numFmtId="0" fontId="58" fillId="36" borderId="18" xfId="0" applyFont="1" applyFill="1" applyBorder="1" applyAlignment="1">
      <alignment horizontal="left" vertical="center" wrapText="1"/>
    </xf>
    <xf numFmtId="0" fontId="59" fillId="35" borderId="18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justify" wrapText="1"/>
    </xf>
    <xf numFmtId="0" fontId="6" fillId="0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justify" wrapText="1"/>
    </xf>
    <xf numFmtId="49" fontId="6" fillId="0" borderId="11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vertical="center"/>
    </xf>
    <xf numFmtId="0" fontId="3" fillId="0" borderId="0" xfId="56" applyFont="1" applyFill="1" applyAlignment="1">
      <alignment wrapText="1"/>
      <protection/>
    </xf>
    <xf numFmtId="0" fontId="3" fillId="0" borderId="0" xfId="56" applyFont="1" applyFill="1">
      <alignment/>
      <protection/>
    </xf>
    <xf numFmtId="49" fontId="4" fillId="0" borderId="20" xfId="56" applyNumberFormat="1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wrapText="1"/>
      <protection/>
    </xf>
    <xf numFmtId="4" fontId="3" fillId="0" borderId="10" xfId="56" applyNumberFormat="1" applyFont="1" applyFill="1" applyBorder="1">
      <alignment/>
      <protection/>
    </xf>
    <xf numFmtId="0" fontId="15" fillId="0" borderId="10" xfId="56" applyFont="1" applyFill="1" applyBorder="1" applyAlignment="1">
      <alignment wrapText="1"/>
      <protection/>
    </xf>
    <xf numFmtId="4" fontId="15" fillId="0" borderId="10" xfId="56" applyNumberFormat="1" applyFont="1" applyFill="1" applyBorder="1">
      <alignment/>
      <protection/>
    </xf>
    <xf numFmtId="0" fontId="15" fillId="0" borderId="0" xfId="0" applyFont="1" applyFill="1" applyAlignment="1">
      <alignment/>
    </xf>
    <xf numFmtId="0" fontId="4" fillId="0" borderId="10" xfId="56" applyFont="1" applyFill="1" applyBorder="1" applyAlignment="1">
      <alignment wrapText="1"/>
      <protection/>
    </xf>
    <xf numFmtId="4" fontId="4" fillId="0" borderId="10" xfId="56" applyNumberFormat="1" applyFont="1" applyFill="1" applyBorder="1">
      <alignment/>
      <protection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1" xfId="0" applyNumberFormat="1" applyFont="1" applyFill="1" applyBorder="1" applyAlignment="1">
      <alignment horizontal="center" vertical="center" wrapText="1" shrinkToFit="1"/>
    </xf>
    <xf numFmtId="4" fontId="3" fillId="0" borderId="12" xfId="0" applyNumberFormat="1" applyFont="1" applyFill="1" applyBorder="1" applyAlignment="1">
      <alignment horizontal="center" vertical="center" wrapText="1" shrinkToFit="1"/>
    </xf>
    <xf numFmtId="4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0" fillId="0" borderId="0" xfId="55" applyFont="1" applyFill="1" applyAlignment="1">
      <alignment horizontal="center" wrapText="1"/>
      <protection/>
    </xf>
    <xf numFmtId="0" fontId="0" fillId="0" borderId="0" xfId="55" applyFill="1" applyAlignment="1">
      <alignment horizontal="center" wrapText="1"/>
      <protection/>
    </xf>
    <xf numFmtId="0" fontId="0" fillId="0" borderId="10" xfId="55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textRotation="90" wrapText="1"/>
      <protection/>
    </xf>
    <xf numFmtId="0" fontId="9" fillId="0" borderId="11" xfId="55" applyFont="1" applyFill="1" applyBorder="1" applyAlignment="1">
      <alignment horizontal="center" vertical="center" textRotation="90" wrapText="1"/>
      <protection/>
    </xf>
    <xf numFmtId="0" fontId="9" fillId="0" borderId="12" xfId="55" applyFont="1" applyFill="1" applyBorder="1" applyAlignment="1">
      <alignment horizontal="center" vertical="center" textRotation="90" wrapText="1"/>
      <protection/>
    </xf>
    <xf numFmtId="0" fontId="9" fillId="0" borderId="13" xfId="55" applyFont="1" applyFill="1" applyBorder="1" applyAlignment="1">
      <alignment horizontal="center" vertical="center" textRotation="90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vertical="center"/>
      <protection/>
    </xf>
    <xf numFmtId="0" fontId="9" fillId="0" borderId="13" xfId="55" applyFont="1" applyFill="1" applyBorder="1" applyAlignment="1">
      <alignment horizontal="center" vertical="center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0" fillId="0" borderId="22" xfId="55" applyFill="1" applyBorder="1" applyAlignment="1">
      <alignment horizontal="center" wrapText="1"/>
      <protection/>
    </xf>
    <xf numFmtId="0" fontId="0" fillId="0" borderId="23" xfId="55" applyFill="1" applyBorder="1" applyAlignment="1">
      <alignment horizontal="center" wrapText="1"/>
      <protection/>
    </xf>
    <xf numFmtId="0" fontId="0" fillId="0" borderId="10" xfId="55" applyFill="1" applyBorder="1" applyAlignment="1">
      <alignment horizontal="center" vertical="center" wrapText="1"/>
      <protection/>
    </xf>
    <xf numFmtId="4" fontId="4" fillId="0" borderId="11" xfId="55" applyNumberFormat="1" applyFont="1" applyFill="1" applyBorder="1" applyAlignment="1">
      <alignment horizontal="center" vertical="center"/>
      <protection/>
    </xf>
    <xf numFmtId="4" fontId="4" fillId="0" borderId="12" xfId="55" applyNumberFormat="1" applyFont="1" applyFill="1" applyBorder="1" applyAlignment="1">
      <alignment horizontal="center" vertical="center"/>
      <protection/>
    </xf>
    <xf numFmtId="4" fontId="4" fillId="0" borderId="13" xfId="55" applyNumberFormat="1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 wrapText="1"/>
      <protection/>
    </xf>
    <xf numFmtId="0" fontId="3" fillId="0" borderId="25" xfId="55" applyFont="1" applyFill="1" applyBorder="1" applyAlignment="1">
      <alignment horizontal="center" vertical="center" wrapText="1"/>
      <protection/>
    </xf>
    <xf numFmtId="0" fontId="3" fillId="0" borderId="26" xfId="55" applyFont="1" applyFill="1" applyBorder="1" applyAlignment="1">
      <alignment horizontal="center" vertical="center" wrapText="1"/>
      <protection/>
    </xf>
    <xf numFmtId="0" fontId="3" fillId="0" borderId="27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/>
      <protection/>
    </xf>
    <xf numFmtId="4" fontId="4" fillId="0" borderId="11" xfId="55" applyNumberFormat="1" applyFont="1" applyFill="1" applyBorder="1" applyAlignment="1">
      <alignment horizontal="center" vertical="center" wrapText="1"/>
      <protection/>
    </xf>
    <xf numFmtId="4" fontId="4" fillId="0" borderId="13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0" fillId="0" borderId="28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 vertical="center"/>
      <protection/>
    </xf>
    <xf numFmtId="0" fontId="0" fillId="0" borderId="12" xfId="55" applyFill="1" applyBorder="1" applyAlignment="1">
      <alignment horizontal="center" vertical="center"/>
      <protection/>
    </xf>
    <xf numFmtId="0" fontId="0" fillId="0" borderId="13" xfId="55" applyFill="1" applyBorder="1" applyAlignment="1">
      <alignment horizontal="center" vertical="center"/>
      <protection/>
    </xf>
    <xf numFmtId="0" fontId="0" fillId="0" borderId="11" xfId="55" applyFill="1" applyBorder="1" applyAlignment="1">
      <alignment horizontal="center" vertical="center" wrapText="1"/>
      <protection/>
    </xf>
    <xf numFmtId="0" fontId="0" fillId="0" borderId="12" xfId="55" applyFill="1" applyBorder="1" applyAlignment="1">
      <alignment horizontal="center" vertical="center" wrapText="1"/>
      <protection/>
    </xf>
    <xf numFmtId="0" fontId="0" fillId="0" borderId="13" xfId="55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4" fillId="0" borderId="19" xfId="56" applyFont="1" applyFill="1" applyBorder="1" applyAlignment="1">
      <alignment horizontal="center"/>
      <protection/>
    </xf>
    <xf numFmtId="0" fontId="4" fillId="0" borderId="20" xfId="56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4" fillId="0" borderId="17" xfId="56" applyFont="1" applyFill="1" applyBorder="1" applyAlignment="1">
      <alignment horizontal="center"/>
      <protection/>
    </xf>
    <xf numFmtId="0" fontId="0" fillId="0" borderId="20" xfId="0" applyFill="1" applyBorder="1" applyAlignment="1">
      <alignment horizontal="center"/>
    </xf>
    <xf numFmtId="0" fontId="4" fillId="0" borderId="10" xfId="56" applyFont="1" applyFill="1" applyBorder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/>
      <protection/>
    </xf>
    <xf numFmtId="49" fontId="4" fillId="0" borderId="20" xfId="56" applyNumberFormat="1" applyFont="1" applyFill="1" applyBorder="1" applyAlignment="1">
      <alignment horizontal="center"/>
      <protection/>
    </xf>
    <xf numFmtId="49" fontId="4" fillId="0" borderId="17" xfId="56" applyNumberFormat="1" applyFont="1" applyFill="1" applyBorder="1" applyAlignment="1">
      <alignment horizontal="center"/>
      <protection/>
    </xf>
    <xf numFmtId="0" fontId="4" fillId="0" borderId="24" xfId="56" applyFont="1" applyFill="1" applyBorder="1" applyAlignment="1">
      <alignment horizontal="center"/>
      <protection/>
    </xf>
    <xf numFmtId="0" fontId="4" fillId="0" borderId="28" xfId="56" applyFont="1" applyFill="1" applyBorder="1" applyAlignment="1">
      <alignment horizontal="center"/>
      <protection/>
    </xf>
    <xf numFmtId="0" fontId="4" fillId="0" borderId="25" xfId="56" applyFont="1" applyFill="1" applyBorder="1" applyAlignment="1">
      <alignment horizont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4"/>
  <sheetViews>
    <sheetView zoomScalePageLayoutView="0" workbookViewId="0" topLeftCell="A4">
      <selection activeCell="F3" sqref="F3"/>
    </sheetView>
  </sheetViews>
  <sheetFormatPr defaultColWidth="9.00390625" defaultRowHeight="12.75"/>
  <cols>
    <col min="1" max="1" width="3.875" style="3" customWidth="1"/>
    <col min="2" max="2" width="48.125" style="1" customWidth="1"/>
    <col min="3" max="3" width="13.00390625" style="1" customWidth="1"/>
    <col min="4" max="4" width="9.625" style="1" customWidth="1"/>
    <col min="5" max="5" width="13.75390625" style="1" customWidth="1"/>
    <col min="6" max="6" width="13.375" style="2" customWidth="1"/>
    <col min="7" max="7" width="19.25390625" style="1" customWidth="1"/>
    <col min="8" max="8" width="13.625" style="1" hidden="1" customWidth="1"/>
    <col min="9" max="9" width="9.125" style="1" customWidth="1"/>
    <col min="10" max="11" width="10.00390625" style="1" bestFit="1" customWidth="1"/>
    <col min="12" max="16384" width="9.125" style="1" customWidth="1"/>
  </cols>
  <sheetData>
    <row r="1" spans="4:6" ht="12.75">
      <c r="D1" s="4"/>
      <c r="F1" s="2" t="s">
        <v>281</v>
      </c>
    </row>
    <row r="2" spans="4:6" ht="12.75">
      <c r="D2" s="4"/>
      <c r="F2" s="2" t="s">
        <v>318</v>
      </c>
    </row>
    <row r="3" spans="4:6" ht="12.75">
      <c r="D3" s="4"/>
      <c r="F3" s="2" t="s">
        <v>196</v>
      </c>
    </row>
    <row r="4" spans="4:6" ht="12" customHeight="1">
      <c r="D4" s="4"/>
      <c r="F4" s="2" t="s">
        <v>282</v>
      </c>
    </row>
    <row r="5" ht="11.25" customHeight="1"/>
    <row r="6" spans="1:7" ht="5.25" customHeight="1">
      <c r="A6" s="218" t="s">
        <v>3</v>
      </c>
      <c r="B6" s="218"/>
      <c r="C6" s="218"/>
      <c r="D6" s="218"/>
      <c r="E6" s="218"/>
      <c r="F6" s="218"/>
      <c r="G6" s="218"/>
    </row>
    <row r="7" spans="1:7" ht="14.25" customHeight="1">
      <c r="A7" s="218"/>
      <c r="B7" s="218"/>
      <c r="C7" s="218"/>
      <c r="D7" s="218"/>
      <c r="E7" s="218"/>
      <c r="F7" s="218"/>
      <c r="G7" s="218"/>
    </row>
    <row r="8" spans="2:7" ht="11.25" customHeight="1">
      <c r="B8" s="5"/>
      <c r="C8" s="5"/>
      <c r="D8" s="5"/>
      <c r="E8" s="5"/>
      <c r="F8" s="6"/>
      <c r="G8" s="5"/>
    </row>
    <row r="9" spans="1:7" ht="11.25">
      <c r="A9" s="219" t="s">
        <v>4</v>
      </c>
      <c r="B9" s="219" t="s">
        <v>5</v>
      </c>
      <c r="C9" s="220" t="s">
        <v>6</v>
      </c>
      <c r="D9" s="221" t="s">
        <v>7</v>
      </c>
      <c r="E9" s="221" t="s">
        <v>8</v>
      </c>
      <c r="F9" s="221" t="s">
        <v>9</v>
      </c>
      <c r="G9" s="221"/>
    </row>
    <row r="10" spans="1:7" ht="9" customHeight="1">
      <c r="A10" s="219"/>
      <c r="B10" s="219"/>
      <c r="C10" s="220"/>
      <c r="D10" s="221"/>
      <c r="E10" s="221"/>
      <c r="F10" s="221"/>
      <c r="G10" s="221"/>
    </row>
    <row r="11" spans="1:7" ht="17.25" customHeight="1">
      <c r="A11" s="219"/>
      <c r="B11" s="219"/>
      <c r="C11" s="220"/>
      <c r="D11" s="221"/>
      <c r="E11" s="221"/>
      <c r="F11" s="9" t="s">
        <v>10</v>
      </c>
      <c r="G11" s="10" t="s">
        <v>11</v>
      </c>
    </row>
    <row r="12" spans="1:7" ht="13.5" customHeight="1">
      <c r="A12" s="207" t="s">
        <v>12</v>
      </c>
      <c r="B12" s="210" t="s">
        <v>13</v>
      </c>
      <c r="C12" s="213">
        <v>65000</v>
      </c>
      <c r="D12" s="222" t="s">
        <v>14</v>
      </c>
      <c r="E12" s="222" t="s">
        <v>14</v>
      </c>
      <c r="F12" s="15">
        <v>65000</v>
      </c>
      <c r="G12" s="16"/>
    </row>
    <row r="13" spans="1:7" ht="13.5" customHeight="1">
      <c r="A13" s="208"/>
      <c r="B13" s="211"/>
      <c r="C13" s="214"/>
      <c r="D13" s="223"/>
      <c r="E13" s="223"/>
      <c r="F13" s="20" t="s">
        <v>15</v>
      </c>
      <c r="G13" s="216" t="s">
        <v>16</v>
      </c>
    </row>
    <row r="14" spans="1:7" ht="29.25" customHeight="1">
      <c r="A14" s="209"/>
      <c r="B14" s="212"/>
      <c r="C14" s="215"/>
      <c r="D14" s="224"/>
      <c r="E14" s="224"/>
      <c r="F14" s="24">
        <v>30000</v>
      </c>
      <c r="G14" s="217"/>
    </row>
    <row r="15" spans="1:7" ht="13.5" customHeight="1">
      <c r="A15" s="207" t="s">
        <v>17</v>
      </c>
      <c r="B15" s="210" t="s">
        <v>18</v>
      </c>
      <c r="C15" s="213">
        <v>75000</v>
      </c>
      <c r="D15" s="222" t="s">
        <v>14</v>
      </c>
      <c r="E15" s="222" t="s">
        <v>14</v>
      </c>
      <c r="F15" s="15">
        <v>75000</v>
      </c>
      <c r="G15" s="16"/>
    </row>
    <row r="16" spans="1:7" ht="14.25" customHeight="1">
      <c r="A16" s="208"/>
      <c r="B16" s="211"/>
      <c r="C16" s="214"/>
      <c r="D16" s="223"/>
      <c r="E16" s="223"/>
      <c r="F16" s="20" t="s">
        <v>15</v>
      </c>
      <c r="G16" s="216" t="s">
        <v>16</v>
      </c>
    </row>
    <row r="17" spans="1:7" ht="15.75" customHeight="1">
      <c r="A17" s="209"/>
      <c r="B17" s="212"/>
      <c r="C17" s="215"/>
      <c r="D17" s="224"/>
      <c r="E17" s="224"/>
      <c r="F17" s="24">
        <v>30000</v>
      </c>
      <c r="G17" s="217"/>
    </row>
    <row r="18" spans="1:7" ht="17.25" customHeight="1">
      <c r="A18" s="207" t="s">
        <v>19</v>
      </c>
      <c r="B18" s="210" t="s">
        <v>20</v>
      </c>
      <c r="C18" s="213">
        <v>186000</v>
      </c>
      <c r="D18" s="222" t="s">
        <v>14</v>
      </c>
      <c r="E18" s="222" t="s">
        <v>14</v>
      </c>
      <c r="F18" s="25">
        <v>186000</v>
      </c>
      <c r="G18" s="225" t="s">
        <v>21</v>
      </c>
    </row>
    <row r="19" spans="1:7" ht="14.25" customHeight="1">
      <c r="A19" s="208"/>
      <c r="B19" s="211"/>
      <c r="C19" s="214"/>
      <c r="D19" s="223"/>
      <c r="E19" s="223"/>
      <c r="F19" s="20" t="s">
        <v>15</v>
      </c>
      <c r="G19" s="216"/>
    </row>
    <row r="20" spans="1:7" ht="14.25" customHeight="1">
      <c r="A20" s="209"/>
      <c r="B20" s="212"/>
      <c r="C20" s="215"/>
      <c r="D20" s="224"/>
      <c r="E20" s="224"/>
      <c r="F20" s="27">
        <v>144000</v>
      </c>
      <c r="G20" s="217"/>
    </row>
    <row r="21" spans="1:7" ht="26.25" customHeight="1">
      <c r="A21" s="11" t="s">
        <v>22</v>
      </c>
      <c r="B21" s="12" t="s">
        <v>23</v>
      </c>
      <c r="C21" s="13">
        <v>22059</v>
      </c>
      <c r="D21" s="14" t="s">
        <v>24</v>
      </c>
      <c r="E21" s="14" t="s">
        <v>14</v>
      </c>
      <c r="F21" s="15">
        <v>22059</v>
      </c>
      <c r="G21" s="16"/>
    </row>
    <row r="22" spans="1:7" ht="24.75" customHeight="1">
      <c r="A22" s="7" t="s">
        <v>25</v>
      </c>
      <c r="B22" s="28" t="s">
        <v>26</v>
      </c>
      <c r="C22" s="29">
        <v>633600</v>
      </c>
      <c r="D22" s="30" t="s">
        <v>24</v>
      </c>
      <c r="E22" s="30" t="s">
        <v>14</v>
      </c>
      <c r="F22" s="31">
        <v>633600</v>
      </c>
      <c r="G22" s="32"/>
    </row>
    <row r="23" spans="1:11" ht="26.25" customHeight="1">
      <c r="A23" s="7" t="s">
        <v>27</v>
      </c>
      <c r="B23" s="28" t="s">
        <v>28</v>
      </c>
      <c r="C23" s="29">
        <v>12333.64</v>
      </c>
      <c r="D23" s="7">
        <v>2019</v>
      </c>
      <c r="E23" s="21">
        <v>2019</v>
      </c>
      <c r="F23" s="27">
        <v>12333.64</v>
      </c>
      <c r="G23" s="33"/>
      <c r="K23" s="2"/>
    </row>
    <row r="24" spans="1:7" ht="39.75" customHeight="1">
      <c r="A24" s="7" t="s">
        <v>29</v>
      </c>
      <c r="B24" s="34" t="s">
        <v>31</v>
      </c>
      <c r="C24" s="35">
        <v>15000</v>
      </c>
      <c r="D24" s="36">
        <v>2019</v>
      </c>
      <c r="E24" s="36">
        <v>2019</v>
      </c>
      <c r="F24" s="37">
        <v>15000</v>
      </c>
      <c r="G24" s="33"/>
    </row>
    <row r="25" spans="1:7" ht="41.25" customHeight="1">
      <c r="A25" s="7" t="s">
        <v>30</v>
      </c>
      <c r="B25" s="34" t="s">
        <v>33</v>
      </c>
      <c r="C25" s="35">
        <v>85000</v>
      </c>
      <c r="D25" s="36">
        <v>2018</v>
      </c>
      <c r="E25" s="36">
        <v>2019</v>
      </c>
      <c r="F25" s="37">
        <v>85000</v>
      </c>
      <c r="G25" s="33"/>
    </row>
    <row r="26" spans="1:7" ht="30.75" customHeight="1">
      <c r="A26" s="7" t="s">
        <v>32</v>
      </c>
      <c r="B26" s="34" t="s">
        <v>35</v>
      </c>
      <c r="C26" s="35">
        <v>3103</v>
      </c>
      <c r="D26" s="36">
        <v>2018</v>
      </c>
      <c r="E26" s="36">
        <v>2019</v>
      </c>
      <c r="F26" s="37">
        <v>3103</v>
      </c>
      <c r="G26" s="33"/>
    </row>
    <row r="27" spans="1:7" ht="30.75" customHeight="1">
      <c r="A27" s="7" t="s">
        <v>34</v>
      </c>
      <c r="B27" s="38" t="s">
        <v>37</v>
      </c>
      <c r="C27" s="39">
        <v>137352</v>
      </c>
      <c r="D27" s="8">
        <v>2018</v>
      </c>
      <c r="E27" s="8">
        <v>2019</v>
      </c>
      <c r="F27" s="40">
        <v>137352</v>
      </c>
      <c r="G27" s="10"/>
    </row>
    <row r="28" spans="1:7" ht="51.75" customHeight="1">
      <c r="A28" s="7" t="s">
        <v>36</v>
      </c>
      <c r="B28" s="38" t="s">
        <v>41</v>
      </c>
      <c r="C28" s="39">
        <v>34400</v>
      </c>
      <c r="D28" s="8">
        <v>2017</v>
      </c>
      <c r="E28" s="8">
        <v>2019</v>
      </c>
      <c r="F28" s="40">
        <v>34400</v>
      </c>
      <c r="G28" s="10"/>
    </row>
    <row r="29" spans="1:7" ht="16.5" customHeight="1">
      <c r="A29" s="207" t="s">
        <v>38</v>
      </c>
      <c r="B29" s="210" t="s">
        <v>43</v>
      </c>
      <c r="C29" s="228">
        <v>933792</v>
      </c>
      <c r="D29" s="231">
        <v>2019</v>
      </c>
      <c r="E29" s="231">
        <v>2019</v>
      </c>
      <c r="F29" s="37">
        <v>933792</v>
      </c>
      <c r="G29" s="33"/>
    </row>
    <row r="30" spans="1:7" ht="13.5" customHeight="1">
      <c r="A30" s="208"/>
      <c r="B30" s="211"/>
      <c r="C30" s="229"/>
      <c r="D30" s="205"/>
      <c r="E30" s="205"/>
      <c r="F30" s="41" t="s">
        <v>15</v>
      </c>
      <c r="G30" s="42"/>
    </row>
    <row r="31" spans="1:7" ht="14.25" customHeight="1">
      <c r="A31" s="209"/>
      <c r="B31" s="212"/>
      <c r="C31" s="230"/>
      <c r="D31" s="206"/>
      <c r="E31" s="206"/>
      <c r="F31" s="43">
        <v>398376</v>
      </c>
      <c r="G31" s="21" t="s">
        <v>44</v>
      </c>
    </row>
    <row r="32" spans="1:7" ht="33" customHeight="1">
      <c r="A32" s="11" t="s">
        <v>39</v>
      </c>
      <c r="B32" s="34" t="s">
        <v>46</v>
      </c>
      <c r="C32" s="35">
        <v>15000</v>
      </c>
      <c r="D32" s="36">
        <v>2019</v>
      </c>
      <c r="E32" s="36">
        <v>2019</v>
      </c>
      <c r="F32" s="37">
        <v>15000</v>
      </c>
      <c r="G32" s="33"/>
    </row>
    <row r="33" spans="1:7" ht="42" customHeight="1">
      <c r="A33" s="7" t="s">
        <v>40</v>
      </c>
      <c r="B33" s="38" t="s">
        <v>48</v>
      </c>
      <c r="C33" s="39">
        <v>99000</v>
      </c>
      <c r="D33" s="8">
        <v>2019</v>
      </c>
      <c r="E33" s="8">
        <v>2019</v>
      </c>
      <c r="F33" s="40">
        <v>99000</v>
      </c>
      <c r="G33" s="10"/>
    </row>
    <row r="34" spans="1:7" ht="24.75" customHeight="1">
      <c r="A34" s="11" t="s">
        <v>42</v>
      </c>
      <c r="B34" s="34" t="s">
        <v>50</v>
      </c>
      <c r="C34" s="35">
        <v>10166.66</v>
      </c>
      <c r="D34" s="36">
        <v>2019</v>
      </c>
      <c r="E34" s="36">
        <v>2019</v>
      </c>
      <c r="F34" s="37">
        <v>10166.66</v>
      </c>
      <c r="G34" s="11"/>
    </row>
    <row r="35" spans="1:7" ht="15" customHeight="1">
      <c r="A35" s="219" t="s">
        <v>45</v>
      </c>
      <c r="B35" s="226" t="s">
        <v>52</v>
      </c>
      <c r="C35" s="227">
        <v>2315291.41</v>
      </c>
      <c r="D35" s="221">
        <v>2018</v>
      </c>
      <c r="E35" s="221">
        <v>2019</v>
      </c>
      <c r="F35" s="37">
        <v>2315291.41</v>
      </c>
      <c r="G35" s="11"/>
    </row>
    <row r="36" spans="1:7" ht="13.5" customHeight="1">
      <c r="A36" s="219"/>
      <c r="B36" s="226"/>
      <c r="C36" s="227"/>
      <c r="D36" s="221"/>
      <c r="E36" s="221"/>
      <c r="F36" s="41" t="s">
        <v>15</v>
      </c>
      <c r="G36" s="44"/>
    </row>
    <row r="37" spans="1:7" ht="33" customHeight="1">
      <c r="A37" s="219"/>
      <c r="B37" s="226"/>
      <c r="C37" s="227"/>
      <c r="D37" s="221"/>
      <c r="E37" s="221"/>
      <c r="F37" s="41">
        <v>1315273</v>
      </c>
      <c r="G37" s="45" t="s">
        <v>53</v>
      </c>
    </row>
    <row r="38" spans="1:7" ht="36.75" customHeight="1">
      <c r="A38" s="7" t="s">
        <v>47</v>
      </c>
      <c r="B38" s="38" t="s">
        <v>283</v>
      </c>
      <c r="C38" s="39">
        <v>1774</v>
      </c>
      <c r="D38" s="8">
        <v>2019</v>
      </c>
      <c r="E38" s="8">
        <v>2019</v>
      </c>
      <c r="F38" s="40">
        <v>1774</v>
      </c>
      <c r="G38" s="38"/>
    </row>
    <row r="39" spans="1:7" ht="50.25" customHeight="1">
      <c r="A39" s="7" t="s">
        <v>49</v>
      </c>
      <c r="B39" s="38" t="s">
        <v>55</v>
      </c>
      <c r="C39" s="39">
        <v>73246.45</v>
      </c>
      <c r="D39" s="8">
        <v>2019</v>
      </c>
      <c r="E39" s="8">
        <v>2019</v>
      </c>
      <c r="F39" s="40">
        <v>73246.45</v>
      </c>
      <c r="G39" s="46"/>
    </row>
    <row r="40" spans="1:7" ht="53.25" customHeight="1">
      <c r="A40" s="7" t="s">
        <v>51</v>
      </c>
      <c r="B40" s="47" t="s">
        <v>57</v>
      </c>
      <c r="C40" s="29">
        <v>131500</v>
      </c>
      <c r="D40" s="7">
        <v>2017</v>
      </c>
      <c r="E40" s="7">
        <v>2019</v>
      </c>
      <c r="F40" s="40">
        <v>131500</v>
      </c>
      <c r="G40" s="48"/>
    </row>
    <row r="41" spans="1:7" ht="15.75" customHeight="1">
      <c r="A41" s="207" t="s">
        <v>54</v>
      </c>
      <c r="B41" s="210" t="s">
        <v>60</v>
      </c>
      <c r="C41" s="213">
        <v>32000</v>
      </c>
      <c r="D41" s="207">
        <v>2019</v>
      </c>
      <c r="E41" s="207">
        <v>2019</v>
      </c>
      <c r="F41" s="37">
        <v>32000</v>
      </c>
      <c r="G41" s="56"/>
    </row>
    <row r="42" spans="1:7" ht="14.25" customHeight="1">
      <c r="A42" s="208"/>
      <c r="B42" s="211"/>
      <c r="C42" s="214"/>
      <c r="D42" s="208"/>
      <c r="E42" s="208"/>
      <c r="F42" s="41" t="s">
        <v>15</v>
      </c>
      <c r="G42" s="216" t="s">
        <v>16</v>
      </c>
    </row>
    <row r="43" spans="1:7" ht="17.25" customHeight="1">
      <c r="A43" s="209"/>
      <c r="B43" s="212"/>
      <c r="C43" s="215"/>
      <c r="D43" s="209"/>
      <c r="E43" s="209"/>
      <c r="F43" s="43">
        <v>15990</v>
      </c>
      <c r="G43" s="217"/>
    </row>
    <row r="44" spans="1:7" ht="15" customHeight="1">
      <c r="A44" s="207" t="s">
        <v>56</v>
      </c>
      <c r="B44" s="210" t="s">
        <v>195</v>
      </c>
      <c r="C44" s="213">
        <v>5000</v>
      </c>
      <c r="D44" s="207">
        <v>2019</v>
      </c>
      <c r="E44" s="207">
        <v>2021</v>
      </c>
      <c r="F44" s="37">
        <v>5000</v>
      </c>
      <c r="G44" s="49"/>
    </row>
    <row r="45" spans="1:7" ht="13.5" customHeight="1">
      <c r="A45" s="208"/>
      <c r="B45" s="211"/>
      <c r="C45" s="214"/>
      <c r="D45" s="208"/>
      <c r="E45" s="208"/>
      <c r="F45" s="41" t="s">
        <v>15</v>
      </c>
      <c r="G45" s="50"/>
    </row>
    <row r="46" spans="1:7" ht="14.25" customHeight="1">
      <c r="A46" s="209"/>
      <c r="B46" s="212"/>
      <c r="C46" s="215"/>
      <c r="D46" s="209"/>
      <c r="E46" s="209"/>
      <c r="F46" s="43">
        <v>4250</v>
      </c>
      <c r="G46" s="51" t="s">
        <v>53</v>
      </c>
    </row>
    <row r="47" spans="1:7" ht="30.75" customHeight="1">
      <c r="A47" s="7" t="s">
        <v>58</v>
      </c>
      <c r="B47" s="38" t="s">
        <v>63</v>
      </c>
      <c r="C47" s="29">
        <v>17000</v>
      </c>
      <c r="D47" s="7">
        <v>2018</v>
      </c>
      <c r="E47" s="7">
        <v>2019</v>
      </c>
      <c r="F47" s="40">
        <v>17000</v>
      </c>
      <c r="G47" s="52"/>
    </row>
    <row r="48" spans="1:7" ht="31.5" customHeight="1">
      <c r="A48" s="7" t="s">
        <v>59</v>
      </c>
      <c r="B48" s="38" t="s">
        <v>65</v>
      </c>
      <c r="C48" s="29">
        <v>192000</v>
      </c>
      <c r="D48" s="7">
        <v>2018</v>
      </c>
      <c r="E48" s="7">
        <v>2019</v>
      </c>
      <c r="F48" s="40">
        <v>192000</v>
      </c>
      <c r="G48" s="52"/>
    </row>
    <row r="49" spans="1:7" ht="31.5" customHeight="1">
      <c r="A49" s="21" t="s">
        <v>61</v>
      </c>
      <c r="B49" s="38" t="s">
        <v>67</v>
      </c>
      <c r="C49" s="23">
        <v>102000</v>
      </c>
      <c r="D49" s="21">
        <v>2018</v>
      </c>
      <c r="E49" s="21">
        <v>2019</v>
      </c>
      <c r="F49" s="43">
        <v>102000</v>
      </c>
      <c r="G49" s="53"/>
    </row>
    <row r="50" spans="1:7" ht="18.75" customHeight="1">
      <c r="A50" s="21" t="s">
        <v>62</v>
      </c>
      <c r="B50" s="22" t="s">
        <v>69</v>
      </c>
      <c r="C50" s="23">
        <v>100000</v>
      </c>
      <c r="D50" s="21">
        <v>2018</v>
      </c>
      <c r="E50" s="21">
        <v>2018</v>
      </c>
      <c r="F50" s="43">
        <v>100000</v>
      </c>
      <c r="G50" s="53"/>
    </row>
    <row r="51" spans="1:8" ht="18" customHeight="1">
      <c r="A51" s="207" t="s">
        <v>64</v>
      </c>
      <c r="B51" s="210" t="s">
        <v>316</v>
      </c>
      <c r="C51" s="213">
        <v>5542953.97</v>
      </c>
      <c r="D51" s="207">
        <v>2018</v>
      </c>
      <c r="E51" s="207">
        <v>2020</v>
      </c>
      <c r="F51" s="37">
        <v>5542953.97</v>
      </c>
      <c r="G51" s="54"/>
      <c r="H51" s="2">
        <f>SUM(F12,F15,F18,F21,F22,F23,F24,F25,F26,F27,F28,F29,F32,F33,F34,F35,F38,F39,F40,F41,F44,F47,F48,F49,F50,F51)</f>
        <v>10839572.13</v>
      </c>
    </row>
    <row r="52" spans="1:8" ht="16.5" customHeight="1">
      <c r="A52" s="208"/>
      <c r="B52" s="211"/>
      <c r="C52" s="214"/>
      <c r="D52" s="208"/>
      <c r="E52" s="208"/>
      <c r="F52" s="41" t="s">
        <v>15</v>
      </c>
      <c r="G52" s="55"/>
      <c r="H52" s="2"/>
    </row>
    <row r="53" spans="1:8" ht="24.75" customHeight="1">
      <c r="A53" s="208"/>
      <c r="B53" s="211"/>
      <c r="C53" s="214"/>
      <c r="D53" s="208"/>
      <c r="E53" s="208"/>
      <c r="F53" s="41">
        <v>4403887.13</v>
      </c>
      <c r="G53" s="55" t="s">
        <v>53</v>
      </c>
      <c r="H53" s="2"/>
    </row>
    <row r="54" spans="1:8" ht="71.25" customHeight="1">
      <c r="A54" s="7" t="s">
        <v>66</v>
      </c>
      <c r="B54" s="28" t="s">
        <v>317</v>
      </c>
      <c r="C54" s="29">
        <v>20000</v>
      </c>
      <c r="D54" s="7">
        <v>2019</v>
      </c>
      <c r="E54" s="7">
        <v>2019</v>
      </c>
      <c r="F54" s="40">
        <v>20000</v>
      </c>
      <c r="G54" s="52"/>
      <c r="H54" s="2"/>
    </row>
    <row r="55" spans="1:8" ht="27" customHeight="1">
      <c r="A55" s="7" t="s">
        <v>68</v>
      </c>
      <c r="B55" s="38" t="s">
        <v>72</v>
      </c>
      <c r="C55" s="29">
        <v>10000</v>
      </c>
      <c r="D55" s="7">
        <v>2019</v>
      </c>
      <c r="E55" s="7">
        <v>2019</v>
      </c>
      <c r="F55" s="40">
        <v>10000</v>
      </c>
      <c r="G55" s="48"/>
      <c r="H55" s="2">
        <f>SUM(F54,F55,F56,F57,F58,F59,F60,F61,F62,F63,F64,F65,F66,F67,F68,F69,F70,F71,F72,F73,F74,F75,F76,F77,F78,F81,F82,F85,F86,F87)</f>
        <v>2175812.83</v>
      </c>
    </row>
    <row r="56" spans="1:7" ht="22.5" customHeight="1">
      <c r="A56" s="7" t="s">
        <v>70</v>
      </c>
      <c r="B56" s="28" t="s">
        <v>74</v>
      </c>
      <c r="C56" s="29">
        <v>50000</v>
      </c>
      <c r="D56" s="7">
        <v>2019</v>
      </c>
      <c r="E56" s="7">
        <v>2019</v>
      </c>
      <c r="F56" s="40">
        <v>50000</v>
      </c>
      <c r="G56" s="48"/>
    </row>
    <row r="57" spans="1:7" ht="53.25" customHeight="1">
      <c r="A57" s="7" t="s">
        <v>71</v>
      </c>
      <c r="B57" s="12" t="s">
        <v>76</v>
      </c>
      <c r="C57" s="13">
        <v>20000</v>
      </c>
      <c r="D57" s="11">
        <v>2019</v>
      </c>
      <c r="E57" s="11">
        <v>2019</v>
      </c>
      <c r="F57" s="37">
        <v>20000</v>
      </c>
      <c r="G57" s="56"/>
    </row>
    <row r="58" spans="1:7" ht="23.25" customHeight="1">
      <c r="A58" s="7" t="s">
        <v>73</v>
      </c>
      <c r="B58" s="28" t="s">
        <v>78</v>
      </c>
      <c r="C58" s="29">
        <v>56000</v>
      </c>
      <c r="D58" s="7">
        <v>2019</v>
      </c>
      <c r="E58" s="7">
        <v>2019</v>
      </c>
      <c r="F58" s="40">
        <v>56000</v>
      </c>
      <c r="G58" s="48"/>
    </row>
    <row r="59" spans="1:7" ht="34.5" customHeight="1">
      <c r="A59" s="7" t="s">
        <v>75</v>
      </c>
      <c r="B59" s="28" t="s">
        <v>80</v>
      </c>
      <c r="C59" s="29">
        <v>20000</v>
      </c>
      <c r="D59" s="7">
        <v>2019</v>
      </c>
      <c r="E59" s="7">
        <v>2019</v>
      </c>
      <c r="F59" s="40">
        <v>20000</v>
      </c>
      <c r="G59" s="48"/>
    </row>
    <row r="60" spans="1:7" ht="27.75" customHeight="1">
      <c r="A60" s="7" t="s">
        <v>77</v>
      </c>
      <c r="B60" s="28" t="s">
        <v>82</v>
      </c>
      <c r="C60" s="29">
        <v>30000</v>
      </c>
      <c r="D60" s="7">
        <v>2014</v>
      </c>
      <c r="E60" s="7">
        <v>2024</v>
      </c>
      <c r="F60" s="31">
        <v>30000</v>
      </c>
      <c r="G60" s="52"/>
    </row>
    <row r="61" spans="1:7" ht="27.75" customHeight="1">
      <c r="A61" s="7" t="s">
        <v>79</v>
      </c>
      <c r="B61" s="28" t="s">
        <v>84</v>
      </c>
      <c r="C61" s="29">
        <v>24207</v>
      </c>
      <c r="D61" s="7">
        <v>2019</v>
      </c>
      <c r="E61" s="7">
        <v>2019</v>
      </c>
      <c r="F61" s="31">
        <v>24207</v>
      </c>
      <c r="G61" s="52"/>
    </row>
    <row r="62" spans="1:7" ht="42.75" customHeight="1">
      <c r="A62" s="7" t="s">
        <v>81</v>
      </c>
      <c r="B62" s="28" t="s">
        <v>86</v>
      </c>
      <c r="C62" s="29">
        <v>18352</v>
      </c>
      <c r="D62" s="7">
        <v>2019</v>
      </c>
      <c r="E62" s="7">
        <v>2019</v>
      </c>
      <c r="F62" s="31">
        <v>18352</v>
      </c>
      <c r="G62" s="52"/>
    </row>
    <row r="63" spans="1:7" ht="42.75" customHeight="1">
      <c r="A63" s="7" t="s">
        <v>83</v>
      </c>
      <c r="B63" s="28" t="s">
        <v>88</v>
      </c>
      <c r="C63" s="29">
        <v>50000</v>
      </c>
      <c r="D63" s="7">
        <v>2019</v>
      </c>
      <c r="E63" s="7">
        <v>2019</v>
      </c>
      <c r="F63" s="31">
        <v>50000</v>
      </c>
      <c r="G63" s="52"/>
    </row>
    <row r="64" spans="1:7" ht="42.75" customHeight="1">
      <c r="A64" s="7" t="s">
        <v>85</v>
      </c>
      <c r="B64" s="28" t="s">
        <v>90</v>
      </c>
      <c r="C64" s="29">
        <v>68634</v>
      </c>
      <c r="D64" s="7">
        <v>2019</v>
      </c>
      <c r="E64" s="7">
        <v>2019</v>
      </c>
      <c r="F64" s="31">
        <v>68634</v>
      </c>
      <c r="G64" s="52"/>
    </row>
    <row r="65" spans="1:7" ht="54.75" customHeight="1">
      <c r="A65" s="7" t="s">
        <v>87</v>
      </c>
      <c r="B65" s="18" t="s">
        <v>92</v>
      </c>
      <c r="C65" s="29">
        <v>10</v>
      </c>
      <c r="D65" s="7">
        <v>2019</v>
      </c>
      <c r="E65" s="7">
        <v>2019</v>
      </c>
      <c r="F65" s="31">
        <v>10</v>
      </c>
      <c r="G65" s="52"/>
    </row>
    <row r="66" spans="1:7" ht="42.75" customHeight="1">
      <c r="A66" s="7" t="s">
        <v>89</v>
      </c>
      <c r="B66" s="28" t="s">
        <v>94</v>
      </c>
      <c r="C66" s="29">
        <v>15000</v>
      </c>
      <c r="D66" s="7">
        <v>2019</v>
      </c>
      <c r="E66" s="7">
        <v>2019</v>
      </c>
      <c r="F66" s="31">
        <v>15000</v>
      </c>
      <c r="G66" s="52"/>
    </row>
    <row r="67" spans="1:7" ht="42" customHeight="1">
      <c r="A67" s="7" t="s">
        <v>91</v>
      </c>
      <c r="B67" s="28" t="s">
        <v>96</v>
      </c>
      <c r="C67" s="29">
        <v>25000</v>
      </c>
      <c r="D67" s="7">
        <v>2016</v>
      </c>
      <c r="E67" s="7">
        <v>2019</v>
      </c>
      <c r="F67" s="31">
        <v>25000</v>
      </c>
      <c r="G67" s="52"/>
    </row>
    <row r="68" spans="1:7" ht="42" customHeight="1">
      <c r="A68" s="7" t="s">
        <v>93</v>
      </c>
      <c r="B68" s="28" t="s">
        <v>98</v>
      </c>
      <c r="C68" s="29">
        <v>10000</v>
      </c>
      <c r="D68" s="7">
        <v>2019</v>
      </c>
      <c r="E68" s="7">
        <v>2019</v>
      </c>
      <c r="F68" s="31">
        <v>10000</v>
      </c>
      <c r="G68" s="52"/>
    </row>
    <row r="69" spans="1:7" ht="37.5" customHeight="1">
      <c r="A69" s="7" t="s">
        <v>95</v>
      </c>
      <c r="B69" s="28" t="s">
        <v>100</v>
      </c>
      <c r="C69" s="29">
        <v>170000</v>
      </c>
      <c r="D69" s="7">
        <v>2019</v>
      </c>
      <c r="E69" s="7">
        <v>2019</v>
      </c>
      <c r="F69" s="31">
        <v>170000</v>
      </c>
      <c r="G69" s="52"/>
    </row>
    <row r="70" spans="1:8" ht="35.25" customHeight="1">
      <c r="A70" s="7" t="s">
        <v>97</v>
      </c>
      <c r="B70" s="28" t="s">
        <v>102</v>
      </c>
      <c r="C70" s="29">
        <v>6000</v>
      </c>
      <c r="D70" s="7">
        <v>2019</v>
      </c>
      <c r="E70" s="7">
        <v>2019</v>
      </c>
      <c r="F70" s="31">
        <v>6000</v>
      </c>
      <c r="G70" s="52"/>
      <c r="H70" s="2"/>
    </row>
    <row r="71" spans="1:7" ht="48" customHeight="1">
      <c r="A71" s="7" t="s">
        <v>99</v>
      </c>
      <c r="B71" s="28" t="s">
        <v>104</v>
      </c>
      <c r="C71" s="29">
        <v>108000</v>
      </c>
      <c r="D71" s="7">
        <v>2016</v>
      </c>
      <c r="E71" s="7">
        <v>2022</v>
      </c>
      <c r="F71" s="31">
        <v>108000</v>
      </c>
      <c r="G71" s="52"/>
    </row>
    <row r="72" spans="1:8" ht="21" customHeight="1">
      <c r="A72" s="7" t="s">
        <v>101</v>
      </c>
      <c r="B72" s="47" t="s">
        <v>106</v>
      </c>
      <c r="C72" s="29">
        <v>83750</v>
      </c>
      <c r="D72" s="7">
        <v>2019</v>
      </c>
      <c r="E72" s="7">
        <v>2019</v>
      </c>
      <c r="F72" s="31">
        <v>83750</v>
      </c>
      <c r="G72" s="52"/>
      <c r="H72" s="57"/>
    </row>
    <row r="73" spans="1:8" ht="25.5" customHeight="1">
      <c r="A73" s="7" t="s">
        <v>103</v>
      </c>
      <c r="B73" s="28" t="s">
        <v>108</v>
      </c>
      <c r="C73" s="29">
        <v>9000</v>
      </c>
      <c r="D73" s="7">
        <v>2019</v>
      </c>
      <c r="E73" s="21">
        <v>2019</v>
      </c>
      <c r="F73" s="27">
        <v>9000</v>
      </c>
      <c r="G73" s="53"/>
      <c r="H73" s="57"/>
    </row>
    <row r="74" spans="1:8" ht="25.5" customHeight="1">
      <c r="A74" s="7" t="s">
        <v>105</v>
      </c>
      <c r="B74" s="28" t="s">
        <v>110</v>
      </c>
      <c r="C74" s="29">
        <v>8000</v>
      </c>
      <c r="D74" s="7">
        <v>2019</v>
      </c>
      <c r="E74" s="21">
        <v>2019</v>
      </c>
      <c r="F74" s="27">
        <v>8000</v>
      </c>
      <c r="G74" s="53"/>
      <c r="H74" s="57"/>
    </row>
    <row r="75" spans="1:8" ht="25.5" customHeight="1">
      <c r="A75" s="7" t="s">
        <v>107</v>
      </c>
      <c r="B75" s="28" t="s">
        <v>112</v>
      </c>
      <c r="C75" s="29">
        <v>8500</v>
      </c>
      <c r="D75" s="7">
        <v>2019</v>
      </c>
      <c r="E75" s="21">
        <v>2019</v>
      </c>
      <c r="F75" s="27">
        <v>8500</v>
      </c>
      <c r="G75" s="53"/>
      <c r="H75" s="57"/>
    </row>
    <row r="76" spans="1:7" ht="23.25" customHeight="1">
      <c r="A76" s="7" t="s">
        <v>109</v>
      </c>
      <c r="B76" s="28" t="s">
        <v>114</v>
      </c>
      <c r="C76" s="29">
        <v>9000</v>
      </c>
      <c r="D76" s="7">
        <v>2019</v>
      </c>
      <c r="E76" s="7">
        <v>2019</v>
      </c>
      <c r="F76" s="31">
        <v>9000</v>
      </c>
      <c r="G76" s="52"/>
    </row>
    <row r="77" spans="1:7" ht="30" customHeight="1">
      <c r="A77" s="11" t="s">
        <v>111</v>
      </c>
      <c r="B77" s="12" t="s">
        <v>116</v>
      </c>
      <c r="C77" s="13">
        <v>45000</v>
      </c>
      <c r="D77" s="11">
        <v>2019</v>
      </c>
      <c r="E77" s="11">
        <v>2019</v>
      </c>
      <c r="F77" s="25">
        <v>45000</v>
      </c>
      <c r="G77" s="54"/>
    </row>
    <row r="78" spans="1:7" ht="18.75" customHeight="1">
      <c r="A78" s="207" t="s">
        <v>113</v>
      </c>
      <c r="B78" s="210" t="s">
        <v>118</v>
      </c>
      <c r="C78" s="213">
        <v>642530</v>
      </c>
      <c r="D78" s="207">
        <v>2018</v>
      </c>
      <c r="E78" s="207">
        <v>2019</v>
      </c>
      <c r="F78" s="25">
        <v>642530</v>
      </c>
      <c r="G78" s="54"/>
    </row>
    <row r="79" spans="1:7" ht="13.5" customHeight="1">
      <c r="A79" s="208"/>
      <c r="B79" s="211"/>
      <c r="C79" s="214"/>
      <c r="D79" s="208"/>
      <c r="E79" s="208"/>
      <c r="F79" s="20" t="s">
        <v>15</v>
      </c>
      <c r="G79" s="55"/>
    </row>
    <row r="80" spans="1:7" ht="15.75" customHeight="1">
      <c r="A80" s="209"/>
      <c r="B80" s="212"/>
      <c r="C80" s="215"/>
      <c r="D80" s="209"/>
      <c r="E80" s="209"/>
      <c r="F80" s="26">
        <v>323397</v>
      </c>
      <c r="G80" s="55" t="s">
        <v>53</v>
      </c>
    </row>
    <row r="81" spans="1:7" ht="39" customHeight="1">
      <c r="A81" s="17" t="s">
        <v>115</v>
      </c>
      <c r="B81" s="18" t="s">
        <v>120</v>
      </c>
      <c r="C81" s="19">
        <v>83763</v>
      </c>
      <c r="D81" s="17">
        <v>2019</v>
      </c>
      <c r="E81" s="17">
        <v>2019</v>
      </c>
      <c r="F81" s="31">
        <v>83763</v>
      </c>
      <c r="G81" s="52"/>
    </row>
    <row r="82" spans="1:7" ht="15.75" customHeight="1">
      <c r="A82" s="207" t="s">
        <v>117</v>
      </c>
      <c r="B82" s="210" t="s">
        <v>122</v>
      </c>
      <c r="C82" s="213">
        <v>482155.46</v>
      </c>
      <c r="D82" s="207">
        <v>2019</v>
      </c>
      <c r="E82" s="207">
        <v>2019</v>
      </c>
      <c r="F82" s="25">
        <v>482155.46</v>
      </c>
      <c r="G82" s="54"/>
    </row>
    <row r="83" spans="1:7" ht="15.75" customHeight="1">
      <c r="A83" s="208"/>
      <c r="B83" s="211"/>
      <c r="C83" s="214"/>
      <c r="D83" s="208"/>
      <c r="E83" s="208"/>
      <c r="F83" s="20" t="s">
        <v>15</v>
      </c>
      <c r="G83" s="55"/>
    </row>
    <row r="84" spans="1:7" ht="15.75" customHeight="1">
      <c r="A84" s="209"/>
      <c r="B84" s="212"/>
      <c r="C84" s="215"/>
      <c r="D84" s="209"/>
      <c r="E84" s="209"/>
      <c r="F84" s="27">
        <v>302814</v>
      </c>
      <c r="G84" s="53" t="s">
        <v>53</v>
      </c>
    </row>
    <row r="85" spans="1:7" ht="39.75" customHeight="1">
      <c r="A85" s="21" t="s">
        <v>119</v>
      </c>
      <c r="B85" s="22" t="s">
        <v>124</v>
      </c>
      <c r="C85" s="23">
        <v>72006.37</v>
      </c>
      <c r="D85" s="21">
        <v>2019</v>
      </c>
      <c r="E85" s="21">
        <v>2019</v>
      </c>
      <c r="F85" s="27">
        <v>72006.37</v>
      </c>
      <c r="G85" s="53"/>
    </row>
    <row r="86" spans="1:7" ht="24.75" customHeight="1">
      <c r="A86" s="21" t="s">
        <v>121</v>
      </c>
      <c r="B86" s="22" t="s">
        <v>126</v>
      </c>
      <c r="C86" s="23">
        <v>13000</v>
      </c>
      <c r="D86" s="21">
        <v>2019</v>
      </c>
      <c r="E86" s="21">
        <v>2019</v>
      </c>
      <c r="F86" s="27">
        <v>13000</v>
      </c>
      <c r="G86" s="53"/>
    </row>
    <row r="87" spans="1:7" ht="22.5" customHeight="1">
      <c r="A87" s="7" t="s">
        <v>123</v>
      </c>
      <c r="B87" s="38" t="s">
        <v>128</v>
      </c>
      <c r="C87" s="29">
        <v>17905</v>
      </c>
      <c r="D87" s="7">
        <v>2019</v>
      </c>
      <c r="E87" s="21">
        <v>2019</v>
      </c>
      <c r="F87" s="31">
        <v>17905</v>
      </c>
      <c r="G87" s="52"/>
    </row>
    <row r="88" spans="1:7" ht="16.5" customHeight="1">
      <c r="A88" s="207" t="s">
        <v>125</v>
      </c>
      <c r="B88" s="210" t="s">
        <v>286</v>
      </c>
      <c r="C88" s="213">
        <v>70000</v>
      </c>
      <c r="D88" s="207">
        <v>2019</v>
      </c>
      <c r="E88" s="207">
        <v>2019</v>
      </c>
      <c r="F88" s="25">
        <v>70000</v>
      </c>
      <c r="G88" s="54"/>
    </row>
    <row r="89" spans="1:7" ht="15.75" customHeight="1">
      <c r="A89" s="208"/>
      <c r="B89" s="211"/>
      <c r="C89" s="214"/>
      <c r="D89" s="208"/>
      <c r="E89" s="208"/>
      <c r="F89" s="20" t="s">
        <v>15</v>
      </c>
      <c r="G89" s="205" t="s">
        <v>16</v>
      </c>
    </row>
    <row r="90" spans="1:7" ht="15.75" customHeight="1">
      <c r="A90" s="209"/>
      <c r="B90" s="212"/>
      <c r="C90" s="215"/>
      <c r="D90" s="209"/>
      <c r="E90" s="209"/>
      <c r="F90" s="27">
        <v>29950</v>
      </c>
      <c r="G90" s="206"/>
    </row>
    <row r="91" spans="1:7" ht="13.5" customHeight="1">
      <c r="A91" s="207" t="s">
        <v>127</v>
      </c>
      <c r="B91" s="232" t="s">
        <v>131</v>
      </c>
      <c r="C91" s="213">
        <v>54900</v>
      </c>
      <c r="D91" s="207">
        <v>2019</v>
      </c>
      <c r="E91" s="207">
        <v>2019</v>
      </c>
      <c r="F91" s="25">
        <v>54900</v>
      </c>
      <c r="G91" s="54"/>
    </row>
    <row r="92" spans="1:7" ht="15" customHeight="1">
      <c r="A92" s="208"/>
      <c r="B92" s="233"/>
      <c r="C92" s="214"/>
      <c r="D92" s="208"/>
      <c r="E92" s="208"/>
      <c r="F92" s="20" t="s">
        <v>15</v>
      </c>
      <c r="G92" s="55"/>
    </row>
    <row r="93" spans="1:7" ht="14.25" customHeight="1">
      <c r="A93" s="209"/>
      <c r="B93" s="234"/>
      <c r="C93" s="215"/>
      <c r="D93" s="209"/>
      <c r="E93" s="209"/>
      <c r="F93" s="26">
        <v>24900</v>
      </c>
      <c r="G93" s="55" t="s">
        <v>132</v>
      </c>
    </row>
    <row r="94" spans="1:7" ht="21" customHeight="1">
      <c r="A94" s="7" t="s">
        <v>129</v>
      </c>
      <c r="B94" s="38" t="s">
        <v>134</v>
      </c>
      <c r="C94" s="29">
        <v>15000</v>
      </c>
      <c r="D94" s="7">
        <v>2019</v>
      </c>
      <c r="E94" s="7">
        <v>2019</v>
      </c>
      <c r="F94" s="31">
        <v>15000</v>
      </c>
      <c r="G94" s="52"/>
    </row>
    <row r="95" spans="1:8" ht="24.75" customHeight="1">
      <c r="A95" s="7" t="s">
        <v>130</v>
      </c>
      <c r="B95" s="28" t="s">
        <v>136</v>
      </c>
      <c r="C95" s="29">
        <v>7380</v>
      </c>
      <c r="D95" s="7">
        <v>2018</v>
      </c>
      <c r="E95" s="7">
        <v>2019</v>
      </c>
      <c r="F95" s="31">
        <v>7380</v>
      </c>
      <c r="G95" s="52"/>
      <c r="H95" s="2">
        <f>SUM(F88,F91,F94,F95,F96,F97,F98)</f>
        <v>203177.46</v>
      </c>
    </row>
    <row r="96" spans="1:7" ht="23.25" customHeight="1">
      <c r="A96" s="7" t="s">
        <v>133</v>
      </c>
      <c r="B96" s="28" t="s">
        <v>138</v>
      </c>
      <c r="C96" s="29">
        <v>27647.46</v>
      </c>
      <c r="D96" s="7">
        <v>2019</v>
      </c>
      <c r="E96" s="21">
        <v>2019</v>
      </c>
      <c r="F96" s="27">
        <v>27647.46</v>
      </c>
      <c r="G96" s="53"/>
    </row>
    <row r="97" spans="1:7" ht="26.25" customHeight="1">
      <c r="A97" s="7" t="s">
        <v>135</v>
      </c>
      <c r="B97" s="28" t="s">
        <v>139</v>
      </c>
      <c r="C97" s="29">
        <v>13250</v>
      </c>
      <c r="D97" s="7">
        <v>2019</v>
      </c>
      <c r="E97" s="21">
        <v>2019</v>
      </c>
      <c r="F97" s="27">
        <v>13250</v>
      </c>
      <c r="G97" s="53"/>
    </row>
    <row r="98" spans="1:7" ht="26.25" customHeight="1">
      <c r="A98" s="7" t="s">
        <v>137</v>
      </c>
      <c r="B98" s="28" t="s">
        <v>140</v>
      </c>
      <c r="C98" s="29">
        <v>15000</v>
      </c>
      <c r="D98" s="7">
        <v>2019</v>
      </c>
      <c r="E98" s="21">
        <v>2019</v>
      </c>
      <c r="F98" s="27">
        <v>15000</v>
      </c>
      <c r="G98" s="53"/>
    </row>
    <row r="99" spans="3:7" ht="13.5" customHeight="1">
      <c r="C99" s="57"/>
      <c r="E99" s="58" t="s">
        <v>141</v>
      </c>
      <c r="F99" s="59">
        <f>SUM(H51,H55,H95)</f>
        <v>13218562.420000002</v>
      </c>
      <c r="G99" s="60"/>
    </row>
    <row r="104" ht="11.25">
      <c r="F104" s="61"/>
    </row>
  </sheetData>
  <sheetProtection/>
  <mergeCells count="72">
    <mergeCell ref="A91:A93"/>
    <mergeCell ref="B91:B93"/>
    <mergeCell ref="C91:C93"/>
    <mergeCell ref="D91:D93"/>
    <mergeCell ref="E91:E93"/>
    <mergeCell ref="A78:A80"/>
    <mergeCell ref="B78:B80"/>
    <mergeCell ref="C78:C80"/>
    <mergeCell ref="D78:D80"/>
    <mergeCell ref="E78:E80"/>
    <mergeCell ref="A82:A84"/>
    <mergeCell ref="B82:B84"/>
    <mergeCell ref="C82:C84"/>
    <mergeCell ref="D82:D84"/>
    <mergeCell ref="E82:E84"/>
    <mergeCell ref="A44:A46"/>
    <mergeCell ref="B44:B46"/>
    <mergeCell ref="C44:C46"/>
    <mergeCell ref="D44:D46"/>
    <mergeCell ref="E44:E46"/>
    <mergeCell ref="A51:A53"/>
    <mergeCell ref="B51:B53"/>
    <mergeCell ref="C51:C53"/>
    <mergeCell ref="D51:D53"/>
    <mergeCell ref="E51:E53"/>
    <mergeCell ref="A29:A31"/>
    <mergeCell ref="B29:B31"/>
    <mergeCell ref="C29:C31"/>
    <mergeCell ref="D29:D31"/>
    <mergeCell ref="E29:E31"/>
    <mergeCell ref="A35:A37"/>
    <mergeCell ref="B35:B37"/>
    <mergeCell ref="C35:C37"/>
    <mergeCell ref="D35:D37"/>
    <mergeCell ref="E35:E37"/>
    <mergeCell ref="A18:A20"/>
    <mergeCell ref="B18:B20"/>
    <mergeCell ref="C18:C20"/>
    <mergeCell ref="D18:D20"/>
    <mergeCell ref="E18:E20"/>
    <mergeCell ref="G18:G20"/>
    <mergeCell ref="A15:A17"/>
    <mergeCell ref="B15:B17"/>
    <mergeCell ref="C15:C17"/>
    <mergeCell ref="D15:D17"/>
    <mergeCell ref="E15:E17"/>
    <mergeCell ref="G16:G17"/>
    <mergeCell ref="A12:A14"/>
    <mergeCell ref="B12:B14"/>
    <mergeCell ref="C12:C14"/>
    <mergeCell ref="D12:D14"/>
    <mergeCell ref="E12:E14"/>
    <mergeCell ref="G13:G14"/>
    <mergeCell ref="A6:G7"/>
    <mergeCell ref="A9:A11"/>
    <mergeCell ref="B9:B11"/>
    <mergeCell ref="C9:C11"/>
    <mergeCell ref="D9:D11"/>
    <mergeCell ref="E9:E11"/>
    <mergeCell ref="F9:G10"/>
    <mergeCell ref="A41:A43"/>
    <mergeCell ref="B41:B43"/>
    <mergeCell ref="C41:C43"/>
    <mergeCell ref="D41:D43"/>
    <mergeCell ref="E41:E43"/>
    <mergeCell ref="G42:G43"/>
    <mergeCell ref="G89:G90"/>
    <mergeCell ref="A88:A90"/>
    <mergeCell ref="B88:B90"/>
    <mergeCell ref="C88:C90"/>
    <mergeCell ref="D88:D90"/>
    <mergeCell ref="E88:E9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75"/>
  <sheetViews>
    <sheetView zoomScalePageLayoutView="0" workbookViewId="0" topLeftCell="A61">
      <selection activeCell="K64" sqref="K64"/>
    </sheetView>
  </sheetViews>
  <sheetFormatPr defaultColWidth="9.00390625" defaultRowHeight="12.75"/>
  <cols>
    <col min="1" max="1" width="4.625" style="0" customWidth="1"/>
    <col min="2" max="2" width="6.625" style="0" customWidth="1"/>
    <col min="3" max="3" width="5.875" style="0" customWidth="1"/>
    <col min="4" max="4" width="48.625" style="0" customWidth="1"/>
    <col min="5" max="5" width="11.125" style="0" customWidth="1"/>
    <col min="6" max="6" width="12.375" style="0" customWidth="1"/>
  </cols>
  <sheetData>
    <row r="1" spans="5:8" ht="12.75">
      <c r="E1" s="93" t="s">
        <v>284</v>
      </c>
      <c r="G1" s="93"/>
      <c r="H1" s="93"/>
    </row>
    <row r="2" spans="5:8" ht="12.75">
      <c r="E2" s="2" t="s">
        <v>318</v>
      </c>
      <c r="F2" s="2"/>
      <c r="G2" s="1"/>
      <c r="H2" s="1"/>
    </row>
    <row r="3" spans="5:8" ht="12.75">
      <c r="E3" s="2" t="s">
        <v>196</v>
      </c>
      <c r="F3" s="2"/>
      <c r="G3" s="1"/>
      <c r="H3" s="1"/>
    </row>
    <row r="4" spans="5:8" ht="12.75">
      <c r="E4" s="2" t="s">
        <v>282</v>
      </c>
      <c r="F4" s="2"/>
      <c r="G4" s="1"/>
      <c r="H4" s="1"/>
    </row>
    <row r="5" spans="5:8" ht="12.75">
      <c r="E5" s="1"/>
      <c r="G5" s="1"/>
      <c r="H5" s="1"/>
    </row>
    <row r="6" ht="12.75">
      <c r="A6" t="s">
        <v>197</v>
      </c>
    </row>
    <row r="7" s="94" customFormat="1" ht="18.75">
      <c r="A7" s="94" t="s">
        <v>198</v>
      </c>
    </row>
    <row r="8" ht="7.5" customHeight="1"/>
    <row r="9" spans="1:6" s="95" customFormat="1" ht="13.5" customHeight="1">
      <c r="A9" s="235" t="s">
        <v>199</v>
      </c>
      <c r="B9" s="235" t="s">
        <v>200</v>
      </c>
      <c r="C9" s="235" t="s">
        <v>201</v>
      </c>
      <c r="D9" s="235" t="s">
        <v>5</v>
      </c>
      <c r="E9" s="236" t="s">
        <v>202</v>
      </c>
      <c r="F9" s="236"/>
    </row>
    <row r="10" spans="1:6" s="95" customFormat="1" ht="42" customHeight="1">
      <c r="A10" s="235"/>
      <c r="B10" s="235"/>
      <c r="C10" s="235"/>
      <c r="D10" s="235"/>
      <c r="E10" s="96" t="s">
        <v>203</v>
      </c>
      <c r="F10" s="96" t="s">
        <v>204</v>
      </c>
    </row>
    <row r="11" spans="1:6" s="95" customFormat="1" ht="21.75" customHeight="1">
      <c r="A11" s="97" t="s">
        <v>205</v>
      </c>
      <c r="B11" s="98"/>
      <c r="C11" s="98"/>
      <c r="D11" s="99" t="s">
        <v>206</v>
      </c>
      <c r="E11" s="100">
        <f>E12</f>
        <v>0</v>
      </c>
      <c r="F11" s="100">
        <f>F12</f>
        <v>500000</v>
      </c>
    </row>
    <row r="12" spans="1:6" s="106" customFormat="1" ht="17.25" customHeight="1">
      <c r="A12" s="101"/>
      <c r="B12" s="102" t="s">
        <v>207</v>
      </c>
      <c r="C12" s="103"/>
      <c r="D12" s="104" t="s">
        <v>208</v>
      </c>
      <c r="E12" s="105">
        <f>E13</f>
        <v>0</v>
      </c>
      <c r="F12" s="105">
        <f>F13</f>
        <v>500000</v>
      </c>
    </row>
    <row r="13" spans="1:6" s="112" customFormat="1" ht="22.5" customHeight="1">
      <c r="A13" s="107"/>
      <c r="B13" s="108"/>
      <c r="C13" s="109" t="s">
        <v>209</v>
      </c>
      <c r="D13" s="110" t="s">
        <v>210</v>
      </c>
      <c r="E13" s="111"/>
      <c r="F13" s="111">
        <v>500000</v>
      </c>
    </row>
    <row r="14" spans="1:6" s="112" customFormat="1" ht="15.75" customHeight="1">
      <c r="A14" s="113">
        <v>855</v>
      </c>
      <c r="B14" s="114"/>
      <c r="C14" s="115"/>
      <c r="D14" s="116" t="s">
        <v>211</v>
      </c>
      <c r="E14" s="117"/>
      <c r="F14" s="117">
        <f>SUM(F15,F17)</f>
        <v>90000</v>
      </c>
    </row>
    <row r="15" spans="1:6" s="121" customFormat="1" ht="18.75" customHeight="1">
      <c r="A15" s="118"/>
      <c r="B15" s="119" t="s">
        <v>212</v>
      </c>
      <c r="C15" s="103"/>
      <c r="D15" s="104" t="s">
        <v>213</v>
      </c>
      <c r="E15" s="120"/>
      <c r="F15" s="120">
        <f>F16</f>
        <v>60000</v>
      </c>
    </row>
    <row r="16" spans="1:6" s="112" customFormat="1" ht="24.75" customHeight="1">
      <c r="A16" s="122"/>
      <c r="B16" s="108"/>
      <c r="C16" s="109" t="s">
        <v>214</v>
      </c>
      <c r="D16" s="110" t="s">
        <v>215</v>
      </c>
      <c r="E16" s="111"/>
      <c r="F16" s="111">
        <v>60000</v>
      </c>
    </row>
    <row r="17" spans="1:6" s="121" customFormat="1" ht="16.5" customHeight="1">
      <c r="A17" s="118"/>
      <c r="B17" s="119" t="s">
        <v>216</v>
      </c>
      <c r="C17" s="103"/>
      <c r="D17" s="104" t="s">
        <v>217</v>
      </c>
      <c r="E17" s="120"/>
      <c r="F17" s="120">
        <f>F18</f>
        <v>30000</v>
      </c>
    </row>
    <row r="18" spans="1:6" s="112" customFormat="1" ht="24" customHeight="1">
      <c r="A18" s="122"/>
      <c r="B18" s="108"/>
      <c r="C18" s="109" t="s">
        <v>214</v>
      </c>
      <c r="D18" s="110" t="s">
        <v>215</v>
      </c>
      <c r="E18" s="111"/>
      <c r="F18" s="111">
        <v>30000</v>
      </c>
    </row>
    <row r="19" spans="1:6" s="125" customFormat="1" ht="17.25" customHeight="1">
      <c r="A19" s="123">
        <v>921</v>
      </c>
      <c r="B19" s="123"/>
      <c r="C19" s="123"/>
      <c r="D19" s="99" t="s">
        <v>218</v>
      </c>
      <c r="E19" s="124">
        <f>SUM(E20,E22)</f>
        <v>1003000</v>
      </c>
      <c r="F19" s="124">
        <f>SUM(F20,F22)</f>
        <v>0</v>
      </c>
    </row>
    <row r="20" spans="1:6" s="128" customFormat="1" ht="15.75" customHeight="1">
      <c r="A20" s="126"/>
      <c r="B20" s="102" t="s">
        <v>219</v>
      </c>
      <c r="C20" s="103"/>
      <c r="D20" s="104" t="s">
        <v>220</v>
      </c>
      <c r="E20" s="127">
        <f>E21</f>
        <v>752000</v>
      </c>
      <c r="F20" s="127">
        <f>F21</f>
        <v>0</v>
      </c>
    </row>
    <row r="21" spans="1:6" s="132" customFormat="1" ht="24" customHeight="1">
      <c r="A21" s="129"/>
      <c r="B21" s="130"/>
      <c r="C21" s="109" t="s">
        <v>221</v>
      </c>
      <c r="D21" s="110" t="s">
        <v>222</v>
      </c>
      <c r="E21" s="131">
        <v>752000</v>
      </c>
      <c r="F21" s="131"/>
    </row>
    <row r="22" spans="1:6" s="128" customFormat="1" ht="15.75" customHeight="1">
      <c r="A22" s="133"/>
      <c r="B22" s="102" t="s">
        <v>223</v>
      </c>
      <c r="C22" s="103"/>
      <c r="D22" s="104" t="s">
        <v>224</v>
      </c>
      <c r="E22" s="134">
        <f>E23</f>
        <v>251000</v>
      </c>
      <c r="F22" s="127">
        <f>F23</f>
        <v>0</v>
      </c>
    </row>
    <row r="23" spans="1:6" s="132" customFormat="1" ht="21.75" customHeight="1">
      <c r="A23" s="135"/>
      <c r="B23" s="130"/>
      <c r="C23" s="109" t="s">
        <v>221</v>
      </c>
      <c r="D23" s="110" t="s">
        <v>225</v>
      </c>
      <c r="E23" s="131">
        <v>251000</v>
      </c>
      <c r="F23" s="131"/>
    </row>
    <row r="24" spans="1:6" s="137" customFormat="1" ht="12.75">
      <c r="A24" s="136"/>
      <c r="B24" s="123"/>
      <c r="C24" s="123"/>
      <c r="D24" s="123" t="s">
        <v>0</v>
      </c>
      <c r="E24" s="124">
        <f>SUM(E11,E19)</f>
        <v>1003000</v>
      </c>
      <c r="F24" s="124">
        <f>SUM(F11,F14,F19)</f>
        <v>590000</v>
      </c>
    </row>
    <row r="25" spans="1:6" ht="5.25" customHeight="1">
      <c r="A25" s="138"/>
      <c r="B25" s="138"/>
      <c r="C25" s="138"/>
      <c r="E25" s="139"/>
      <c r="F25" s="139"/>
    </row>
    <row r="26" spans="1:6" ht="18.75">
      <c r="A26" s="94" t="s">
        <v>226</v>
      </c>
      <c r="B26" s="138"/>
      <c r="C26" s="138"/>
      <c r="E26" s="139"/>
      <c r="F26" s="139"/>
    </row>
    <row r="27" spans="1:6" ht="5.25" customHeight="1">
      <c r="A27" s="138"/>
      <c r="B27" s="138"/>
      <c r="C27" s="138"/>
      <c r="E27" s="139"/>
      <c r="F27" s="139"/>
    </row>
    <row r="28" spans="1:6" ht="13.5" customHeight="1">
      <c r="A28" s="235" t="s">
        <v>199</v>
      </c>
      <c r="B28" s="235" t="s">
        <v>200</v>
      </c>
      <c r="C28" s="235" t="s">
        <v>201</v>
      </c>
      <c r="D28" s="237" t="s">
        <v>5</v>
      </c>
      <c r="E28" s="236" t="s">
        <v>202</v>
      </c>
      <c r="F28" s="236"/>
    </row>
    <row r="29" spans="1:6" ht="37.5" customHeight="1">
      <c r="A29" s="235"/>
      <c r="B29" s="235"/>
      <c r="C29" s="235"/>
      <c r="D29" s="237"/>
      <c r="E29" s="96" t="s">
        <v>203</v>
      </c>
      <c r="F29" s="96" t="s">
        <v>204</v>
      </c>
    </row>
    <row r="30" spans="1:6" s="125" customFormat="1" ht="16.5" customHeight="1">
      <c r="A30" s="97" t="s">
        <v>1</v>
      </c>
      <c r="B30" s="98"/>
      <c r="C30" s="98"/>
      <c r="D30" s="99" t="s">
        <v>227</v>
      </c>
      <c r="E30" s="124">
        <f>E31</f>
        <v>0</v>
      </c>
      <c r="F30" s="124">
        <f>F31</f>
        <v>20000</v>
      </c>
    </row>
    <row r="31" spans="1:6" s="128" customFormat="1" ht="15.75" customHeight="1">
      <c r="A31" s="140"/>
      <c r="B31" s="102" t="s">
        <v>228</v>
      </c>
      <c r="C31" s="103"/>
      <c r="D31" s="104" t="s">
        <v>229</v>
      </c>
      <c r="E31" s="127">
        <f>E32</f>
        <v>0</v>
      </c>
      <c r="F31" s="127">
        <f>F32</f>
        <v>20000</v>
      </c>
    </row>
    <row r="32" spans="1:6" s="132" customFormat="1" ht="35.25" customHeight="1">
      <c r="A32" s="141"/>
      <c r="B32" s="142"/>
      <c r="C32" s="109" t="s">
        <v>230</v>
      </c>
      <c r="D32" s="110" t="s">
        <v>231</v>
      </c>
      <c r="E32" s="131"/>
      <c r="F32" s="131">
        <v>20000</v>
      </c>
    </row>
    <row r="33" spans="1:6" ht="18.75" customHeight="1">
      <c r="A33" s="97" t="s">
        <v>232</v>
      </c>
      <c r="B33" s="98"/>
      <c r="C33" s="98"/>
      <c r="D33" s="99" t="s">
        <v>233</v>
      </c>
      <c r="E33" s="143">
        <f>E34</f>
        <v>1000</v>
      </c>
      <c r="F33" s="143">
        <f>F34</f>
        <v>0</v>
      </c>
    </row>
    <row r="34" spans="1:6" ht="17.25" customHeight="1">
      <c r="A34" s="101"/>
      <c r="B34" s="102" t="s">
        <v>234</v>
      </c>
      <c r="C34" s="103"/>
      <c r="D34" s="104" t="s">
        <v>235</v>
      </c>
      <c r="E34" s="134">
        <f>E35</f>
        <v>1000</v>
      </c>
      <c r="F34" s="134">
        <f>F35</f>
        <v>0</v>
      </c>
    </row>
    <row r="35" spans="1:6" s="132" customFormat="1" ht="37.5" customHeight="1">
      <c r="A35" s="144"/>
      <c r="B35" s="142"/>
      <c r="C35" s="109" t="s">
        <v>236</v>
      </c>
      <c r="D35" s="145" t="s">
        <v>237</v>
      </c>
      <c r="E35" s="131">
        <v>1000</v>
      </c>
      <c r="F35" s="131"/>
    </row>
    <row r="36" spans="1:6" s="125" customFormat="1" ht="18" customHeight="1">
      <c r="A36" s="123">
        <v>754</v>
      </c>
      <c r="B36" s="123"/>
      <c r="C36" s="123"/>
      <c r="D36" s="146" t="s">
        <v>238</v>
      </c>
      <c r="E36" s="124">
        <f>E37</f>
        <v>0</v>
      </c>
      <c r="F36" s="124">
        <f>F37</f>
        <v>93870.56</v>
      </c>
    </row>
    <row r="37" spans="1:6" s="148" customFormat="1" ht="15.75" customHeight="1">
      <c r="A37" s="147"/>
      <c r="B37" s="102" t="s">
        <v>239</v>
      </c>
      <c r="C37" s="103"/>
      <c r="D37" s="104" t="s">
        <v>240</v>
      </c>
      <c r="E37" s="134">
        <f>E38</f>
        <v>0</v>
      </c>
      <c r="F37" s="134">
        <f>SUM(F38:F39)</f>
        <v>93870.56</v>
      </c>
    </row>
    <row r="38" spans="1:6" s="132" customFormat="1" ht="39.75" customHeight="1">
      <c r="A38" s="135"/>
      <c r="B38" s="109"/>
      <c r="C38" s="130" t="s">
        <v>241</v>
      </c>
      <c r="D38" s="110" t="s">
        <v>242</v>
      </c>
      <c r="E38" s="131"/>
      <c r="F38" s="131">
        <v>37870.56</v>
      </c>
    </row>
    <row r="39" spans="1:6" s="132" customFormat="1" ht="49.5" customHeight="1">
      <c r="A39" s="149"/>
      <c r="B39" s="109"/>
      <c r="C39" s="130" t="s">
        <v>243</v>
      </c>
      <c r="D39" s="150" t="s">
        <v>244</v>
      </c>
      <c r="E39" s="131"/>
      <c r="F39" s="131">
        <v>56000</v>
      </c>
    </row>
    <row r="40" spans="1:6" s="155" customFormat="1" ht="18" customHeight="1">
      <c r="A40" s="151">
        <v>801</v>
      </c>
      <c r="B40" s="152"/>
      <c r="C40" s="153"/>
      <c r="D40" s="154" t="s">
        <v>206</v>
      </c>
      <c r="E40" s="100">
        <f>SUM(E43,E41)</f>
        <v>10296</v>
      </c>
      <c r="F40" s="100">
        <f>SUM(F43,F41)</f>
        <v>3000</v>
      </c>
    </row>
    <row r="41" spans="1:6" s="155" customFormat="1" ht="16.5" customHeight="1">
      <c r="A41" s="185"/>
      <c r="B41" s="186">
        <v>80113</v>
      </c>
      <c r="C41" s="186"/>
      <c r="D41" s="187" t="s">
        <v>285</v>
      </c>
      <c r="E41" s="188">
        <f>E42</f>
        <v>10296</v>
      </c>
      <c r="F41" s="188">
        <f>F42</f>
        <v>0</v>
      </c>
    </row>
    <row r="42" spans="1:6" s="155" customFormat="1" ht="42" customHeight="1">
      <c r="A42" s="122"/>
      <c r="B42" s="189"/>
      <c r="C42" s="109" t="s">
        <v>236</v>
      </c>
      <c r="D42" s="145" t="s">
        <v>237</v>
      </c>
      <c r="E42" s="111">
        <v>10296</v>
      </c>
      <c r="F42" s="111"/>
    </row>
    <row r="43" spans="1:6" s="148" customFormat="1" ht="16.5" customHeight="1">
      <c r="A43" s="167"/>
      <c r="B43" s="102" t="s">
        <v>245</v>
      </c>
      <c r="C43" s="103"/>
      <c r="D43" s="104" t="s">
        <v>246</v>
      </c>
      <c r="E43" s="134">
        <f>E44</f>
        <v>0</v>
      </c>
      <c r="F43" s="134">
        <f>F44</f>
        <v>3000</v>
      </c>
    </row>
    <row r="44" spans="1:6" s="132" customFormat="1" ht="35.25" customHeight="1">
      <c r="A44" s="170"/>
      <c r="B44" s="142"/>
      <c r="C44" s="109" t="s">
        <v>241</v>
      </c>
      <c r="D44" s="110" t="s">
        <v>242</v>
      </c>
      <c r="E44" s="157"/>
      <c r="F44" s="131">
        <v>3000</v>
      </c>
    </row>
    <row r="45" spans="1:6" s="125" customFormat="1" ht="12.75">
      <c r="A45" s="123">
        <v>851</v>
      </c>
      <c r="B45" s="158"/>
      <c r="C45" s="98"/>
      <c r="D45" s="159" t="s">
        <v>247</v>
      </c>
      <c r="E45" s="124">
        <f>SUM(E46,E48,E50,E52)</f>
        <v>35000</v>
      </c>
      <c r="F45" s="124">
        <f>SUM(F46,F48,F50,F52)</f>
        <v>33000</v>
      </c>
    </row>
    <row r="46" spans="1:6" s="125" customFormat="1" ht="12.75">
      <c r="A46" s="160"/>
      <c r="B46" s="142" t="s">
        <v>248</v>
      </c>
      <c r="C46" s="161"/>
      <c r="D46" s="162" t="s">
        <v>249</v>
      </c>
      <c r="E46" s="157">
        <f>E47</f>
        <v>20000</v>
      </c>
      <c r="F46" s="157">
        <f>F47</f>
        <v>0</v>
      </c>
    </row>
    <row r="47" spans="1:6" s="155" customFormat="1" ht="48">
      <c r="A47" s="129"/>
      <c r="B47" s="130"/>
      <c r="C47" s="163" t="s">
        <v>250</v>
      </c>
      <c r="D47" s="164" t="s">
        <v>251</v>
      </c>
      <c r="E47" s="131">
        <v>20000</v>
      </c>
      <c r="F47" s="131">
        <v>0</v>
      </c>
    </row>
    <row r="48" spans="1:6" s="125" customFormat="1" ht="24">
      <c r="A48" s="160"/>
      <c r="B48" s="142" t="s">
        <v>252</v>
      </c>
      <c r="C48" s="165"/>
      <c r="D48" s="166" t="s">
        <v>253</v>
      </c>
      <c r="E48" s="157">
        <f>E49</f>
        <v>15000</v>
      </c>
      <c r="F48" s="157">
        <f>F49</f>
        <v>0</v>
      </c>
    </row>
    <row r="49" spans="1:6" s="155" customFormat="1" ht="43.5" customHeight="1">
      <c r="A49" s="129"/>
      <c r="B49" s="130"/>
      <c r="C49" s="163" t="s">
        <v>254</v>
      </c>
      <c r="D49" s="164" t="s">
        <v>255</v>
      </c>
      <c r="E49" s="131">
        <v>15000</v>
      </c>
      <c r="F49" s="131"/>
    </row>
    <row r="50" spans="1:6" s="148" customFormat="1" ht="12.75">
      <c r="A50" s="167"/>
      <c r="B50" s="102" t="s">
        <v>256</v>
      </c>
      <c r="C50" s="103"/>
      <c r="D50" s="168" t="s">
        <v>257</v>
      </c>
      <c r="E50" s="134">
        <f>E51</f>
        <v>0</v>
      </c>
      <c r="F50" s="134">
        <f>F51</f>
        <v>24000</v>
      </c>
    </row>
    <row r="51" spans="1:6" s="155" customFormat="1" ht="36">
      <c r="A51" s="129"/>
      <c r="B51" s="130"/>
      <c r="C51" s="109" t="s">
        <v>241</v>
      </c>
      <c r="D51" s="110" t="s">
        <v>242</v>
      </c>
      <c r="E51" s="131"/>
      <c r="F51" s="131">
        <v>24000</v>
      </c>
    </row>
    <row r="52" spans="1:6" s="148" customFormat="1" ht="12.75">
      <c r="A52" s="167"/>
      <c r="B52" s="102" t="s">
        <v>258</v>
      </c>
      <c r="C52" s="103"/>
      <c r="D52" s="169" t="s">
        <v>246</v>
      </c>
      <c r="E52" s="134">
        <f>E53</f>
        <v>0</v>
      </c>
      <c r="F52" s="134">
        <f>F53</f>
        <v>9000</v>
      </c>
    </row>
    <row r="53" spans="1:6" s="132" customFormat="1" ht="36">
      <c r="A53" s="170"/>
      <c r="B53" s="142"/>
      <c r="C53" s="109" t="s">
        <v>241</v>
      </c>
      <c r="D53" s="110" t="s">
        <v>242</v>
      </c>
      <c r="E53" s="157"/>
      <c r="F53" s="131">
        <v>9000</v>
      </c>
    </row>
    <row r="54" spans="1:6" s="132" customFormat="1" ht="12.75">
      <c r="A54" s="171">
        <v>853</v>
      </c>
      <c r="B54" s="172"/>
      <c r="C54" s="173"/>
      <c r="D54" s="174" t="s">
        <v>259</v>
      </c>
      <c r="E54" s="143">
        <f>E55</f>
        <v>1977</v>
      </c>
      <c r="F54" s="143">
        <f>F55</f>
        <v>0</v>
      </c>
    </row>
    <row r="55" spans="1:6" s="148" customFormat="1" ht="25.5" customHeight="1">
      <c r="A55" s="147"/>
      <c r="B55" s="102" t="s">
        <v>260</v>
      </c>
      <c r="C55" s="103"/>
      <c r="D55" s="175" t="s">
        <v>261</v>
      </c>
      <c r="E55" s="134">
        <f>E56</f>
        <v>1977</v>
      </c>
      <c r="F55" s="134">
        <f>F56</f>
        <v>0</v>
      </c>
    </row>
    <row r="56" spans="1:6" s="132" customFormat="1" ht="33.75">
      <c r="A56" s="170"/>
      <c r="B56" s="142"/>
      <c r="C56" s="109" t="s">
        <v>236</v>
      </c>
      <c r="D56" s="176" t="s">
        <v>237</v>
      </c>
      <c r="E56" s="157">
        <v>1977</v>
      </c>
      <c r="F56" s="131"/>
    </row>
    <row r="57" spans="1:6" s="137" customFormat="1" ht="12.75">
      <c r="A57" s="123">
        <v>900</v>
      </c>
      <c r="B57" s="123"/>
      <c r="C57" s="123"/>
      <c r="D57" s="146" t="s">
        <v>262</v>
      </c>
      <c r="E57" s="124">
        <f>SUM(E58,E60,E62,E64)</f>
        <v>78500</v>
      </c>
      <c r="F57" s="124">
        <f>SUM(F58,F60,F62)</f>
        <v>284000</v>
      </c>
    </row>
    <row r="58" spans="1:6" s="125" customFormat="1" ht="12.75">
      <c r="A58" s="177"/>
      <c r="B58" s="178">
        <v>90001</v>
      </c>
      <c r="C58" s="156"/>
      <c r="D58" s="179" t="s">
        <v>263</v>
      </c>
      <c r="E58" s="157"/>
      <c r="F58" s="157">
        <f>F59</f>
        <v>176000</v>
      </c>
    </row>
    <row r="59" spans="1:6" s="155" customFormat="1" ht="48">
      <c r="A59" s="129"/>
      <c r="B59" s="180"/>
      <c r="C59" s="181">
        <v>6230</v>
      </c>
      <c r="D59" s="150" t="s">
        <v>244</v>
      </c>
      <c r="E59" s="131"/>
      <c r="F59" s="131">
        <v>176000</v>
      </c>
    </row>
    <row r="60" spans="1:6" s="155" customFormat="1" ht="12.75">
      <c r="A60" s="129"/>
      <c r="B60" s="178">
        <v>90005</v>
      </c>
      <c r="C60" s="156"/>
      <c r="D60" s="179" t="s">
        <v>264</v>
      </c>
      <c r="E60" s="157"/>
      <c r="F60" s="157">
        <f>F61</f>
        <v>108000</v>
      </c>
    </row>
    <row r="61" spans="1:6" s="155" customFormat="1" ht="54.75" customHeight="1">
      <c r="A61" s="129"/>
      <c r="B61" s="180"/>
      <c r="C61" s="181">
        <v>6230</v>
      </c>
      <c r="D61" s="150" t="s">
        <v>244</v>
      </c>
      <c r="E61" s="131"/>
      <c r="F61" s="131">
        <v>108000</v>
      </c>
    </row>
    <row r="62" spans="1:6" s="128" customFormat="1" ht="12.75">
      <c r="A62" s="133"/>
      <c r="B62" s="102" t="s">
        <v>265</v>
      </c>
      <c r="C62" s="103"/>
      <c r="D62" s="104" t="s">
        <v>266</v>
      </c>
      <c r="E62" s="134">
        <f>E63</f>
        <v>55000</v>
      </c>
      <c r="F62" s="134">
        <f>F63</f>
        <v>0</v>
      </c>
    </row>
    <row r="63" spans="1:6" s="132" customFormat="1" ht="33.75" customHeight="1">
      <c r="A63" s="129"/>
      <c r="B63" s="130"/>
      <c r="C63" s="109" t="s">
        <v>267</v>
      </c>
      <c r="D63" s="110" t="s">
        <v>268</v>
      </c>
      <c r="E63" s="131">
        <v>55000</v>
      </c>
      <c r="F63" s="131"/>
    </row>
    <row r="64" spans="1:6" s="148" customFormat="1" ht="24.75" customHeight="1">
      <c r="A64" s="167"/>
      <c r="B64" s="102" t="s">
        <v>269</v>
      </c>
      <c r="C64" s="103"/>
      <c r="D64" s="104" t="s">
        <v>270</v>
      </c>
      <c r="E64" s="134">
        <f>E65</f>
        <v>23500</v>
      </c>
      <c r="F64" s="134"/>
    </row>
    <row r="65" spans="1:6" s="132" customFormat="1" ht="50.25" customHeight="1">
      <c r="A65" s="135"/>
      <c r="B65" s="130"/>
      <c r="C65" s="109" t="s">
        <v>271</v>
      </c>
      <c r="D65" s="110" t="s">
        <v>272</v>
      </c>
      <c r="E65" s="131">
        <v>23500</v>
      </c>
      <c r="F65" s="131"/>
    </row>
    <row r="66" spans="1:6" s="137" customFormat="1" ht="12.75">
      <c r="A66" s="123">
        <v>921</v>
      </c>
      <c r="B66" s="98"/>
      <c r="C66" s="98"/>
      <c r="D66" s="99" t="s">
        <v>218</v>
      </c>
      <c r="E66" s="124">
        <f>E70</f>
        <v>0</v>
      </c>
      <c r="F66" s="124">
        <f>SUM(F67,F70)</f>
        <v>50500</v>
      </c>
    </row>
    <row r="67" spans="1:6" s="125" customFormat="1" ht="12.75">
      <c r="A67" s="177"/>
      <c r="B67" s="142" t="s">
        <v>273</v>
      </c>
      <c r="C67" s="161"/>
      <c r="D67" s="182" t="s">
        <v>274</v>
      </c>
      <c r="E67" s="157"/>
      <c r="F67" s="157">
        <f>SUM(F68:F69)</f>
        <v>20000</v>
      </c>
    </row>
    <row r="68" spans="1:6" s="155" customFormat="1" ht="48">
      <c r="A68" s="129"/>
      <c r="B68" s="183"/>
      <c r="C68" s="109" t="s">
        <v>275</v>
      </c>
      <c r="D68" s="110" t="s">
        <v>276</v>
      </c>
      <c r="E68" s="131"/>
      <c r="F68" s="131">
        <v>15000</v>
      </c>
    </row>
    <row r="69" spans="1:6" s="125" customFormat="1" ht="36">
      <c r="A69" s="160"/>
      <c r="B69" s="184"/>
      <c r="C69" s="109" t="s">
        <v>241</v>
      </c>
      <c r="D69" s="110" t="s">
        <v>242</v>
      </c>
      <c r="E69" s="157"/>
      <c r="F69" s="131">
        <v>5000</v>
      </c>
    </row>
    <row r="70" spans="1:6" s="128" customFormat="1" ht="12.75">
      <c r="A70" s="133"/>
      <c r="B70" s="102" t="s">
        <v>277</v>
      </c>
      <c r="C70" s="103"/>
      <c r="D70" s="104" t="s">
        <v>246</v>
      </c>
      <c r="E70" s="127">
        <f>E71</f>
        <v>0</v>
      </c>
      <c r="F70" s="134">
        <f>F71</f>
        <v>30500</v>
      </c>
    </row>
    <row r="71" spans="1:6" s="148" customFormat="1" ht="36">
      <c r="A71" s="135"/>
      <c r="B71" s="142"/>
      <c r="C71" s="109" t="s">
        <v>241</v>
      </c>
      <c r="D71" s="110" t="s">
        <v>242</v>
      </c>
      <c r="E71" s="131"/>
      <c r="F71" s="131">
        <v>30500</v>
      </c>
    </row>
    <row r="72" spans="1:6" ht="12.75">
      <c r="A72" s="123">
        <v>926</v>
      </c>
      <c r="B72" s="123"/>
      <c r="C72" s="123"/>
      <c r="D72" s="99" t="s">
        <v>278</v>
      </c>
      <c r="E72" s="124">
        <f>SUM(E73)</f>
        <v>0</v>
      </c>
      <c r="F72" s="124">
        <f>SUM(F73)</f>
        <v>247400</v>
      </c>
    </row>
    <row r="73" spans="1:6" s="137" customFormat="1" ht="12.75">
      <c r="A73" s="126"/>
      <c r="B73" s="102" t="s">
        <v>279</v>
      </c>
      <c r="C73" s="103"/>
      <c r="D73" s="104" t="s">
        <v>280</v>
      </c>
      <c r="E73" s="127">
        <f>E74</f>
        <v>0</v>
      </c>
      <c r="F73" s="127">
        <f>F74</f>
        <v>247400</v>
      </c>
    </row>
    <row r="74" spans="1:6" s="132" customFormat="1" ht="36">
      <c r="A74" s="135"/>
      <c r="B74" s="130"/>
      <c r="C74" s="109" t="s">
        <v>241</v>
      </c>
      <c r="D74" s="110" t="s">
        <v>242</v>
      </c>
      <c r="E74" s="131"/>
      <c r="F74" s="131">
        <v>247400</v>
      </c>
    </row>
    <row r="75" spans="1:6" ht="12.75">
      <c r="A75" s="136"/>
      <c r="B75" s="123"/>
      <c r="C75" s="123"/>
      <c r="D75" s="123" t="s">
        <v>0</v>
      </c>
      <c r="E75" s="124">
        <f>SUM(E30,E33,E36,E40,E45,E54,E57,E66,E72)</f>
        <v>126773</v>
      </c>
      <c r="F75" s="124">
        <f>SUM(F30,F33,F36,F40,F45,F57,F66,F72)</f>
        <v>731770.56</v>
      </c>
    </row>
  </sheetData>
  <sheetProtection/>
  <mergeCells count="10">
    <mergeCell ref="A9:A10"/>
    <mergeCell ref="B9:B10"/>
    <mergeCell ref="C9:C10"/>
    <mergeCell ref="D9:D10"/>
    <mergeCell ref="E9:F9"/>
    <mergeCell ref="A28:A29"/>
    <mergeCell ref="B28:B29"/>
    <mergeCell ref="C28:C29"/>
    <mergeCell ref="D28:D29"/>
    <mergeCell ref="E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84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4.125" style="0" customWidth="1"/>
    <col min="2" max="2" width="13.625" style="0" customWidth="1"/>
    <col min="3" max="3" width="16.375" style="0" customWidth="1"/>
    <col min="4" max="4" width="7.875" style="0" customWidth="1"/>
    <col min="5" max="5" width="12.125" style="0" customWidth="1"/>
    <col min="6" max="6" width="12.625" style="0" customWidth="1"/>
    <col min="7" max="7" width="10.125" style="0" customWidth="1"/>
    <col min="8" max="8" width="8.875" style="0" customWidth="1"/>
    <col min="9" max="9" width="7.875" style="0" customWidth="1"/>
    <col min="10" max="10" width="8.375" style="0" customWidth="1"/>
    <col min="11" max="12" width="11.75390625" style="0" bestFit="1" customWidth="1"/>
  </cols>
  <sheetData>
    <row r="1" spans="1:10" ht="12.75">
      <c r="A1" s="62"/>
      <c r="B1" s="62"/>
      <c r="C1" s="62"/>
      <c r="D1" s="62"/>
      <c r="E1" s="62"/>
      <c r="F1" s="62"/>
      <c r="G1" s="2" t="s">
        <v>2</v>
      </c>
      <c r="H1" s="62"/>
      <c r="I1" s="62"/>
      <c r="J1" s="62"/>
    </row>
    <row r="2" spans="1:10" ht="12.75">
      <c r="A2" s="62"/>
      <c r="B2" s="62"/>
      <c r="C2" s="62"/>
      <c r="D2" s="62"/>
      <c r="E2" s="62"/>
      <c r="F2" s="62"/>
      <c r="G2" s="2" t="s">
        <v>318</v>
      </c>
      <c r="H2" s="62"/>
      <c r="I2" s="62"/>
      <c r="J2" s="62"/>
    </row>
    <row r="3" spans="1:10" ht="12.75">
      <c r="A3" s="62"/>
      <c r="B3" s="62"/>
      <c r="C3" s="62"/>
      <c r="D3" s="62"/>
      <c r="E3" s="62"/>
      <c r="F3" s="62"/>
      <c r="G3" s="2" t="s">
        <v>196</v>
      </c>
      <c r="H3" s="62"/>
      <c r="I3" s="62"/>
      <c r="J3" s="62"/>
    </row>
    <row r="4" spans="1:10" ht="12.75">
      <c r="A4" s="62"/>
      <c r="B4" s="62"/>
      <c r="C4" s="62"/>
      <c r="D4" s="62"/>
      <c r="E4" s="62"/>
      <c r="F4" s="62"/>
      <c r="G4" s="2" t="s">
        <v>282</v>
      </c>
      <c r="H4" s="62"/>
      <c r="I4" s="62"/>
      <c r="J4" s="62"/>
    </row>
    <row r="5" spans="1:10" ht="12.75">
      <c r="A5" s="62"/>
      <c r="B5" s="63"/>
      <c r="C5" s="63"/>
      <c r="D5" s="62"/>
      <c r="E5" s="62"/>
      <c r="F5" s="62"/>
      <c r="G5" s="62"/>
      <c r="H5" s="62"/>
      <c r="I5" s="62"/>
      <c r="J5" s="62"/>
    </row>
    <row r="6" spans="1:10" ht="29.25" customHeight="1">
      <c r="A6" s="238" t="s">
        <v>142</v>
      </c>
      <c r="B6" s="239"/>
      <c r="C6" s="239"/>
      <c r="D6" s="239"/>
      <c r="E6" s="239"/>
      <c r="F6" s="239"/>
      <c r="G6" s="239"/>
      <c r="H6" s="239"/>
      <c r="I6" s="239"/>
      <c r="J6" s="62"/>
    </row>
    <row r="7" spans="1:10" ht="12.75">
      <c r="A7" s="62"/>
      <c r="B7" s="63"/>
      <c r="C7" s="63"/>
      <c r="D7" s="62"/>
      <c r="E7" s="62"/>
      <c r="F7" s="62"/>
      <c r="G7" s="62"/>
      <c r="H7" s="62"/>
      <c r="I7" s="62"/>
      <c r="J7" s="62"/>
    </row>
    <row r="8" spans="1:10" ht="12.75">
      <c r="A8" s="240" t="s">
        <v>4</v>
      </c>
      <c r="B8" s="241" t="s">
        <v>143</v>
      </c>
      <c r="C8" s="244" t="s">
        <v>5</v>
      </c>
      <c r="D8" s="247" t="s">
        <v>144</v>
      </c>
      <c r="E8" s="248" t="s">
        <v>145</v>
      </c>
      <c r="F8" s="251" t="s">
        <v>146</v>
      </c>
      <c r="G8" s="251"/>
      <c r="H8" s="251"/>
      <c r="I8" s="251"/>
      <c r="J8" s="251"/>
    </row>
    <row r="9" spans="1:10" ht="12.75">
      <c r="A9" s="240"/>
      <c r="B9" s="242"/>
      <c r="C9" s="245"/>
      <c r="D9" s="247"/>
      <c r="E9" s="249"/>
      <c r="F9" s="251"/>
      <c r="G9" s="251"/>
      <c r="H9" s="251"/>
      <c r="I9" s="251"/>
      <c r="J9" s="251"/>
    </row>
    <row r="10" spans="1:10" ht="0.75" customHeight="1">
      <c r="A10" s="240"/>
      <c r="B10" s="242"/>
      <c r="C10" s="245"/>
      <c r="D10" s="247"/>
      <c r="E10" s="249"/>
      <c r="F10" s="251"/>
      <c r="G10" s="251"/>
      <c r="H10" s="251"/>
      <c r="I10" s="251"/>
      <c r="J10" s="251"/>
    </row>
    <row r="11" spans="1:10" ht="1.5" customHeight="1">
      <c r="A11" s="240"/>
      <c r="B11" s="242"/>
      <c r="C11" s="245"/>
      <c r="D11" s="247"/>
      <c r="E11" s="249"/>
      <c r="F11" s="252" t="s">
        <v>147</v>
      </c>
      <c r="G11" s="254" t="s">
        <v>148</v>
      </c>
      <c r="H11" s="255" t="s">
        <v>149</v>
      </c>
      <c r="I11" s="254" t="s">
        <v>150</v>
      </c>
      <c r="J11" s="254" t="s">
        <v>151</v>
      </c>
    </row>
    <row r="12" spans="1:10" ht="9" customHeight="1" thickBot="1">
      <c r="A12" s="240"/>
      <c r="B12" s="243"/>
      <c r="C12" s="246"/>
      <c r="D12" s="247"/>
      <c r="E12" s="249"/>
      <c r="F12" s="252"/>
      <c r="G12" s="251"/>
      <c r="H12" s="255"/>
      <c r="I12" s="251"/>
      <c r="J12" s="251"/>
    </row>
    <row r="13" spans="1:10" ht="25.5" customHeight="1" thickBot="1">
      <c r="A13" s="240"/>
      <c r="B13" s="256" t="s">
        <v>152</v>
      </c>
      <c r="C13" s="257"/>
      <c r="D13" s="247"/>
      <c r="E13" s="250"/>
      <c r="F13" s="253"/>
      <c r="G13" s="251"/>
      <c r="H13" s="254"/>
      <c r="I13" s="251"/>
      <c r="J13" s="251"/>
    </row>
    <row r="14" spans="1:10" ht="12.75">
      <c r="A14" s="64"/>
      <c r="B14" s="65"/>
      <c r="C14" s="65"/>
      <c r="D14" s="66"/>
      <c r="E14" s="66"/>
      <c r="F14" s="66"/>
      <c r="G14" s="67"/>
      <c r="H14" s="68"/>
      <c r="I14" s="69"/>
      <c r="J14" s="70"/>
    </row>
    <row r="15" spans="1:10" ht="21" customHeight="1">
      <c r="A15" s="240" t="s">
        <v>12</v>
      </c>
      <c r="B15" s="71" t="s">
        <v>153</v>
      </c>
      <c r="C15" s="72" t="s">
        <v>154</v>
      </c>
      <c r="D15" s="258">
        <v>2019</v>
      </c>
      <c r="E15" s="259">
        <v>642530</v>
      </c>
      <c r="F15" s="259">
        <f>F18</f>
        <v>642530</v>
      </c>
      <c r="G15" s="259">
        <f>G18</f>
        <v>323397</v>
      </c>
      <c r="H15" s="259">
        <f>H18</f>
        <v>184849.19</v>
      </c>
      <c r="I15" s="259">
        <f>I18</f>
        <v>0</v>
      </c>
      <c r="J15" s="259">
        <f>J18</f>
        <v>134283.81</v>
      </c>
    </row>
    <row r="16" spans="1:10" ht="22.5" customHeight="1">
      <c r="A16" s="240"/>
      <c r="B16" s="262" t="s">
        <v>155</v>
      </c>
      <c r="C16" s="263"/>
      <c r="D16" s="258"/>
      <c r="E16" s="260"/>
      <c r="F16" s="260"/>
      <c r="G16" s="260"/>
      <c r="H16" s="260"/>
      <c r="I16" s="260"/>
      <c r="J16" s="260"/>
    </row>
    <row r="17" spans="1:10" ht="12.75">
      <c r="A17" s="240"/>
      <c r="B17" s="264"/>
      <c r="C17" s="265"/>
      <c r="D17" s="258"/>
      <c r="E17" s="261"/>
      <c r="F17" s="260"/>
      <c r="G17" s="260"/>
      <c r="H17" s="260"/>
      <c r="I17" s="260"/>
      <c r="J17" s="260"/>
    </row>
    <row r="18" spans="1:10" ht="12.75">
      <c r="A18" s="240"/>
      <c r="B18" s="266"/>
      <c r="C18" s="267"/>
      <c r="D18" s="258"/>
      <c r="E18" s="73" t="s">
        <v>156</v>
      </c>
      <c r="F18" s="74">
        <f>SUM(G18:J18)</f>
        <v>642530</v>
      </c>
      <c r="G18" s="74">
        <v>323397</v>
      </c>
      <c r="H18" s="74">
        <v>184849.19</v>
      </c>
      <c r="I18" s="74">
        <v>0</v>
      </c>
      <c r="J18" s="75">
        <v>134283.81</v>
      </c>
    </row>
    <row r="19" spans="1:10" ht="12.75">
      <c r="A19" s="76"/>
      <c r="B19" s="77"/>
      <c r="C19" s="77"/>
      <c r="D19" s="78"/>
      <c r="E19" s="79"/>
      <c r="F19" s="80"/>
      <c r="G19" s="80"/>
      <c r="H19" s="80"/>
      <c r="I19" s="80"/>
      <c r="J19" s="80"/>
    </row>
    <row r="20" spans="1:10" ht="12.75">
      <c r="A20" s="62"/>
      <c r="B20" s="62"/>
      <c r="C20" s="62"/>
      <c r="D20" s="62"/>
      <c r="E20" s="62"/>
      <c r="F20" s="81"/>
      <c r="G20" s="81"/>
      <c r="H20" s="81"/>
      <c r="I20" s="81"/>
      <c r="J20" s="82"/>
    </row>
    <row r="21" spans="1:10" ht="26.25" customHeight="1">
      <c r="A21" s="268" t="s">
        <v>17</v>
      </c>
      <c r="B21" s="83" t="s">
        <v>157</v>
      </c>
      <c r="C21" s="84" t="s">
        <v>158</v>
      </c>
      <c r="D21" s="258" t="s">
        <v>159</v>
      </c>
      <c r="E21" s="269">
        <v>442396.25</v>
      </c>
      <c r="F21" s="259">
        <f>SUM(F23:F38)</f>
        <v>195079.65</v>
      </c>
      <c r="G21" s="259">
        <f>SUM(G23:G38)</f>
        <v>165817.69</v>
      </c>
      <c r="H21" s="259">
        <f>SUM(H23:H38)</f>
        <v>9754.02</v>
      </c>
      <c r="I21" s="259">
        <f>SUM(I23:I38)</f>
        <v>19507.940000000002</v>
      </c>
      <c r="J21" s="259">
        <f>SUM(J23:J38)</f>
        <v>0</v>
      </c>
    </row>
    <row r="22" spans="1:11" ht="87" customHeight="1">
      <c r="A22" s="240"/>
      <c r="B22" s="271" t="s">
        <v>160</v>
      </c>
      <c r="C22" s="271"/>
      <c r="D22" s="258"/>
      <c r="E22" s="270"/>
      <c r="F22" s="260"/>
      <c r="G22" s="260"/>
      <c r="H22" s="260"/>
      <c r="I22" s="260"/>
      <c r="J22" s="260"/>
      <c r="K22" s="85"/>
    </row>
    <row r="23" spans="1:10" ht="12.75">
      <c r="A23" s="240"/>
      <c r="B23" s="271"/>
      <c r="C23" s="271"/>
      <c r="D23" s="258"/>
      <c r="E23" s="74" t="s">
        <v>161</v>
      </c>
      <c r="F23" s="74">
        <f>SUM(G23:J23)</f>
        <v>73247.98</v>
      </c>
      <c r="G23" s="74">
        <f>2298.74+45253.05+14709</f>
        <v>62260.79</v>
      </c>
      <c r="H23" s="74">
        <f>135.23+2661.94+865.24</f>
        <v>3662.41</v>
      </c>
      <c r="I23" s="74">
        <f>270.43+5323.89+1730.46</f>
        <v>7324.780000000001</v>
      </c>
      <c r="J23" s="74">
        <v>0</v>
      </c>
    </row>
    <row r="24" spans="1:10" ht="12.75">
      <c r="A24" s="240"/>
      <c r="B24" s="271"/>
      <c r="C24" s="271"/>
      <c r="D24" s="258"/>
      <c r="E24" s="74" t="s">
        <v>162</v>
      </c>
      <c r="F24" s="74">
        <f aca="true" t="shared" si="0" ref="F24:F38">SUM(G24:J24)</f>
        <v>12591.45</v>
      </c>
      <c r="G24" s="74">
        <f>395.25+7779.01+2528.48</f>
        <v>10702.74</v>
      </c>
      <c r="H24" s="74">
        <f>23.26+457.59+148.73</f>
        <v>629.5799999999999</v>
      </c>
      <c r="I24" s="74">
        <f>46.49+915.17+297.47</f>
        <v>1259.13</v>
      </c>
      <c r="J24" s="74">
        <v>0</v>
      </c>
    </row>
    <row r="25" spans="1:10" ht="12.75">
      <c r="A25" s="240"/>
      <c r="B25" s="271"/>
      <c r="C25" s="271"/>
      <c r="D25" s="258"/>
      <c r="E25" s="74" t="s">
        <v>163</v>
      </c>
      <c r="F25" s="74">
        <f t="shared" si="0"/>
        <v>2094.2000000000003</v>
      </c>
      <c r="G25" s="74">
        <f>311+1108.69+360.38</f>
        <v>1780.0700000000002</v>
      </c>
      <c r="H25" s="74">
        <f>18.28+65.22+21.21</f>
        <v>104.71000000000001</v>
      </c>
      <c r="I25" s="74">
        <f>36.59+130.44+42.39</f>
        <v>209.42000000000002</v>
      </c>
      <c r="J25" s="74">
        <v>0</v>
      </c>
    </row>
    <row r="26" spans="1:10" ht="12.75">
      <c r="A26" s="240"/>
      <c r="B26" s="271"/>
      <c r="C26" s="271"/>
      <c r="D26" s="258"/>
      <c r="E26" s="74" t="s">
        <v>164</v>
      </c>
      <c r="F26" s="74">
        <f t="shared" si="0"/>
        <v>9385</v>
      </c>
      <c r="G26" s="74">
        <f>-3213+11190.25</f>
        <v>7977.25</v>
      </c>
      <c r="H26" s="74">
        <f>-189+658.25</f>
        <v>469.25</v>
      </c>
      <c r="I26" s="74">
        <f>-378+1316.5</f>
        <v>938.5</v>
      </c>
      <c r="J26" s="74">
        <v>0</v>
      </c>
    </row>
    <row r="27" spans="1:10" ht="12.75">
      <c r="A27" s="240"/>
      <c r="B27" s="271"/>
      <c r="C27" s="271"/>
      <c r="D27" s="258"/>
      <c r="E27" s="74" t="s">
        <v>165</v>
      </c>
      <c r="F27" s="74">
        <f t="shared" si="0"/>
        <v>8932.97</v>
      </c>
      <c r="G27" s="74">
        <f>1389.63+6203.39</f>
        <v>7593.02</v>
      </c>
      <c r="H27" s="74">
        <f>81.75+364.9</f>
        <v>446.65</v>
      </c>
      <c r="I27" s="74">
        <f>163.48+729.82</f>
        <v>893.3000000000001</v>
      </c>
      <c r="J27" s="74">
        <v>0</v>
      </c>
    </row>
    <row r="28" spans="1:10" ht="12.75">
      <c r="A28" s="240"/>
      <c r="B28" s="271"/>
      <c r="C28" s="271"/>
      <c r="D28" s="258"/>
      <c r="E28" s="74" t="s">
        <v>166</v>
      </c>
      <c r="F28" s="74">
        <f t="shared" si="0"/>
        <v>5140</v>
      </c>
      <c r="G28" s="74">
        <f>-1184.05+5553.05</f>
        <v>4369</v>
      </c>
      <c r="H28" s="74">
        <f>-69.65+326.65</f>
        <v>257</v>
      </c>
      <c r="I28" s="74">
        <f>-139.3+653.3</f>
        <v>514</v>
      </c>
      <c r="J28" s="74">
        <v>0</v>
      </c>
    </row>
    <row r="29" spans="1:10" ht="12.75">
      <c r="A29" s="240"/>
      <c r="B29" s="271"/>
      <c r="C29" s="271"/>
      <c r="D29" s="258"/>
      <c r="E29" s="74" t="s">
        <v>167</v>
      </c>
      <c r="F29" s="74">
        <f t="shared" si="0"/>
        <v>4029.08</v>
      </c>
      <c r="G29" s="74">
        <f>-7642.28+11067</f>
        <v>3424.7200000000003</v>
      </c>
      <c r="H29" s="74">
        <f>-449.55+651</f>
        <v>201.45</v>
      </c>
      <c r="I29" s="74">
        <f>-899.09+1302</f>
        <v>402.90999999999997</v>
      </c>
      <c r="J29" s="74">
        <v>0</v>
      </c>
    </row>
    <row r="30" spans="1:10" ht="12.75">
      <c r="A30" s="240"/>
      <c r="B30" s="271"/>
      <c r="C30" s="271"/>
      <c r="D30" s="258"/>
      <c r="E30" s="74" t="s">
        <v>168</v>
      </c>
      <c r="F30" s="74">
        <f t="shared" si="0"/>
        <v>1100</v>
      </c>
      <c r="G30" s="74">
        <v>935</v>
      </c>
      <c r="H30" s="74">
        <v>55</v>
      </c>
      <c r="I30" s="74">
        <v>110</v>
      </c>
      <c r="J30" s="74">
        <v>0</v>
      </c>
    </row>
    <row r="31" spans="1:10" ht="12.75">
      <c r="A31" s="240"/>
      <c r="B31" s="271"/>
      <c r="C31" s="271"/>
      <c r="D31" s="258"/>
      <c r="E31" s="74" t="s">
        <v>169</v>
      </c>
      <c r="F31" s="74">
        <f t="shared" si="0"/>
        <v>50250.060000000005</v>
      </c>
      <c r="G31" s="74">
        <f>5708.85+35034.8+1968.89</f>
        <v>42712.54</v>
      </c>
      <c r="H31" s="74">
        <f>335.82+2060.87+115.82</f>
        <v>2512.51</v>
      </c>
      <c r="I31" s="74">
        <f>671.62+4121.74+231.65</f>
        <v>5025.009999999999</v>
      </c>
      <c r="J31" s="74">
        <v>0</v>
      </c>
    </row>
    <row r="32" spans="1:10" ht="12.75">
      <c r="A32" s="240"/>
      <c r="B32" s="271"/>
      <c r="C32" s="271"/>
      <c r="D32" s="258"/>
      <c r="E32" s="74" t="s">
        <v>170</v>
      </c>
      <c r="F32" s="74">
        <f t="shared" si="0"/>
        <v>8637.97</v>
      </c>
      <c r="G32" s="74">
        <f>981.33+6022.48+338.47</f>
        <v>7342.28</v>
      </c>
      <c r="H32" s="74">
        <f>57.72+354.26+19.92</f>
        <v>431.90000000000003</v>
      </c>
      <c r="I32" s="74">
        <f>115.45+708.53+39.81</f>
        <v>863.79</v>
      </c>
      <c r="J32" s="74">
        <v>0</v>
      </c>
    </row>
    <row r="33" spans="1:10" ht="12.75">
      <c r="A33" s="240"/>
      <c r="B33" s="271"/>
      <c r="C33" s="271"/>
      <c r="D33" s="258"/>
      <c r="E33" s="74" t="s">
        <v>171</v>
      </c>
      <c r="F33" s="74">
        <f t="shared" si="0"/>
        <v>1261.55</v>
      </c>
      <c r="G33" s="74">
        <f>165.74+858.34+48.24</f>
        <v>1072.32</v>
      </c>
      <c r="H33" s="74">
        <f>9.75+50.5+2.83</f>
        <v>63.08</v>
      </c>
      <c r="I33" s="74">
        <f>19.5+100.98+5.67</f>
        <v>126.15</v>
      </c>
      <c r="J33" s="74">
        <v>0</v>
      </c>
    </row>
    <row r="34" spans="1:10" ht="12.75">
      <c r="A34" s="240"/>
      <c r="B34" s="271"/>
      <c r="C34" s="271"/>
      <c r="D34" s="258"/>
      <c r="E34" s="74" t="s">
        <v>172</v>
      </c>
      <c r="F34" s="74">
        <f t="shared" si="0"/>
        <v>1935</v>
      </c>
      <c r="G34" s="74">
        <f>-1088+2732.75</f>
        <v>1644.75</v>
      </c>
      <c r="H34" s="74">
        <f>-64+160.75</f>
        <v>96.75</v>
      </c>
      <c r="I34" s="74">
        <f>-128+321.5</f>
        <v>193.5</v>
      </c>
      <c r="J34" s="74">
        <v>0</v>
      </c>
    </row>
    <row r="35" spans="1:10" ht="12.75">
      <c r="A35" s="240"/>
      <c r="B35" s="271"/>
      <c r="C35" s="271"/>
      <c r="D35" s="258"/>
      <c r="E35" s="74" t="s">
        <v>173</v>
      </c>
      <c r="F35" s="74">
        <f t="shared" si="0"/>
        <v>5880.16</v>
      </c>
      <c r="G35" s="74">
        <f>-1716.12+6714.25</f>
        <v>4998.13</v>
      </c>
      <c r="H35" s="74">
        <f>-100.95+394.96</f>
        <v>294.01</v>
      </c>
      <c r="I35" s="74">
        <f>-201.9+789.92</f>
        <v>588.02</v>
      </c>
      <c r="J35" s="74">
        <v>0</v>
      </c>
    </row>
    <row r="36" spans="1:10" ht="12.75">
      <c r="A36" s="240"/>
      <c r="B36" s="271"/>
      <c r="C36" s="271"/>
      <c r="D36" s="258"/>
      <c r="E36" s="74" t="s">
        <v>174</v>
      </c>
      <c r="F36" s="74">
        <f t="shared" si="0"/>
        <v>2177.06</v>
      </c>
      <c r="G36" s="74">
        <f>-3973.19+5823.68</f>
        <v>1850.4900000000002</v>
      </c>
      <c r="H36" s="74">
        <f>-233.71+342.57</f>
        <v>108.85999999999999</v>
      </c>
      <c r="I36" s="74">
        <f>-467.43+685.14</f>
        <v>217.70999999999998</v>
      </c>
      <c r="J36" s="74">
        <v>0</v>
      </c>
    </row>
    <row r="37" spans="1:10" ht="12.75">
      <c r="A37" s="240"/>
      <c r="B37" s="271"/>
      <c r="C37" s="271"/>
      <c r="D37" s="258"/>
      <c r="E37" s="74" t="s">
        <v>175</v>
      </c>
      <c r="F37" s="74">
        <f t="shared" si="0"/>
        <v>6117.17</v>
      </c>
      <c r="G37" s="74">
        <f>-4158.91+9358.5</f>
        <v>5199.59</v>
      </c>
      <c r="H37" s="74">
        <f>-244.64+550.5</f>
        <v>305.86</v>
      </c>
      <c r="I37" s="74">
        <f>-489.28+1101</f>
        <v>611.72</v>
      </c>
      <c r="J37" s="74">
        <v>0</v>
      </c>
    </row>
    <row r="38" spans="1:10" ht="12.75">
      <c r="A38" s="240"/>
      <c r="B38" s="271"/>
      <c r="C38" s="271"/>
      <c r="D38" s="258"/>
      <c r="E38" s="74" t="s">
        <v>176</v>
      </c>
      <c r="F38" s="74">
        <f t="shared" si="0"/>
        <v>2300</v>
      </c>
      <c r="G38" s="74">
        <v>1955</v>
      </c>
      <c r="H38" s="74">
        <v>115</v>
      </c>
      <c r="I38" s="74">
        <v>230</v>
      </c>
      <c r="J38" s="74">
        <v>0</v>
      </c>
    </row>
    <row r="39" spans="1:10" ht="12.75">
      <c r="A39" s="76"/>
      <c r="B39" s="86"/>
      <c r="C39" s="86"/>
      <c r="D39" s="78"/>
      <c r="E39" s="80"/>
      <c r="F39" s="80"/>
      <c r="G39" s="80"/>
      <c r="H39" s="80"/>
      <c r="I39" s="80"/>
      <c r="J39" s="80"/>
    </row>
    <row r="40" spans="1:12" ht="12.75" customHeight="1">
      <c r="A40" s="268" t="s">
        <v>19</v>
      </c>
      <c r="B40" s="69" t="s">
        <v>177</v>
      </c>
      <c r="C40" s="87" t="s">
        <v>178</v>
      </c>
      <c r="D40" s="272" t="s">
        <v>179</v>
      </c>
      <c r="E40" s="269">
        <v>281176.25</v>
      </c>
      <c r="F40" s="259">
        <f>SUM(F42:F49)</f>
        <v>88290.26</v>
      </c>
      <c r="G40" s="259">
        <f>SUM(G42:G49)</f>
        <v>75046.74</v>
      </c>
      <c r="H40" s="259">
        <f>SUM(H42:H49)</f>
        <v>4414.490000000001</v>
      </c>
      <c r="I40" s="259">
        <f>SUM(I42:I49)</f>
        <v>8829.03</v>
      </c>
      <c r="J40" s="259">
        <f>SUM(J42:J49)</f>
        <v>0</v>
      </c>
      <c r="L40" s="85"/>
    </row>
    <row r="41" spans="1:10" ht="12" customHeight="1">
      <c r="A41" s="268"/>
      <c r="B41" s="271" t="s">
        <v>180</v>
      </c>
      <c r="C41" s="271"/>
      <c r="D41" s="273"/>
      <c r="E41" s="270"/>
      <c r="F41" s="260"/>
      <c r="G41" s="260"/>
      <c r="H41" s="260"/>
      <c r="I41" s="260"/>
      <c r="J41" s="260"/>
    </row>
    <row r="42" spans="1:10" ht="12.75">
      <c r="A42" s="268"/>
      <c r="B42" s="271"/>
      <c r="C42" s="271"/>
      <c r="D42" s="273"/>
      <c r="E42" s="74" t="s">
        <v>161</v>
      </c>
      <c r="F42" s="74">
        <f aca="true" t="shared" si="1" ref="F42:F49">SUM(G42:J42)</f>
        <v>58363.47</v>
      </c>
      <c r="G42" s="74">
        <f>45418.07+4190.87</f>
        <v>49608.94</v>
      </c>
      <c r="H42" s="74">
        <f>2671.64+246.54</f>
        <v>2918.18</v>
      </c>
      <c r="I42" s="74">
        <f>5343.32+493.03</f>
        <v>5836.349999999999</v>
      </c>
      <c r="J42" s="74">
        <v>0</v>
      </c>
    </row>
    <row r="43" spans="1:10" ht="12.75">
      <c r="A43" s="268"/>
      <c r="B43" s="271"/>
      <c r="C43" s="271"/>
      <c r="D43" s="273"/>
      <c r="E43" s="74" t="s">
        <v>162</v>
      </c>
      <c r="F43" s="74">
        <f t="shared" si="1"/>
        <v>9986.01</v>
      </c>
      <c r="G43" s="74">
        <f>7771.48+716.62</f>
        <v>8488.1</v>
      </c>
      <c r="H43" s="74">
        <f>457.13+42.17</f>
        <v>499.3</v>
      </c>
      <c r="I43" s="74">
        <f>914.29+84.32</f>
        <v>998.6099999999999</v>
      </c>
      <c r="J43" s="74">
        <v>0</v>
      </c>
    </row>
    <row r="44" spans="1:10" ht="12.75">
      <c r="A44" s="268"/>
      <c r="B44" s="271"/>
      <c r="C44" s="271"/>
      <c r="D44" s="273"/>
      <c r="E44" s="74" t="s">
        <v>163</v>
      </c>
      <c r="F44" s="74">
        <f t="shared" si="1"/>
        <v>1472.18</v>
      </c>
      <c r="G44" s="74">
        <f>138.66+1112.7</f>
        <v>1251.3600000000001</v>
      </c>
      <c r="H44" s="74">
        <f>65.48+8.12</f>
        <v>73.60000000000001</v>
      </c>
      <c r="I44" s="74">
        <f>130.89+16.33</f>
        <v>147.21999999999997</v>
      </c>
      <c r="J44" s="74">
        <v>0</v>
      </c>
    </row>
    <row r="45" spans="1:10" ht="12.75">
      <c r="A45" s="268"/>
      <c r="B45" s="271"/>
      <c r="C45" s="271"/>
      <c r="D45" s="273"/>
      <c r="E45" s="74" t="s">
        <v>164</v>
      </c>
      <c r="F45" s="74">
        <f t="shared" si="1"/>
        <v>4800</v>
      </c>
      <c r="G45" s="74">
        <f>-680+4760</f>
        <v>4080</v>
      </c>
      <c r="H45" s="74">
        <f>-40+280</f>
        <v>240</v>
      </c>
      <c r="I45" s="74">
        <f>-80+560</f>
        <v>480</v>
      </c>
      <c r="J45" s="74">
        <v>0</v>
      </c>
    </row>
    <row r="46" spans="1:10" ht="12.75">
      <c r="A46" s="268"/>
      <c r="B46" s="271"/>
      <c r="C46" s="271"/>
      <c r="D46" s="273"/>
      <c r="E46" s="74" t="s">
        <v>165</v>
      </c>
      <c r="F46" s="74">
        <f t="shared" si="1"/>
        <v>8293.630000000001</v>
      </c>
      <c r="G46" s="74">
        <f>1524.59+5525</f>
        <v>7049.59</v>
      </c>
      <c r="H46" s="74">
        <f>89.68+325</f>
        <v>414.68</v>
      </c>
      <c r="I46" s="74">
        <f>179.36+650</f>
        <v>829.36</v>
      </c>
      <c r="J46" s="74">
        <v>0</v>
      </c>
    </row>
    <row r="47" spans="1:10" ht="12.75">
      <c r="A47" s="268"/>
      <c r="B47" s="271"/>
      <c r="C47" s="271"/>
      <c r="D47" s="273"/>
      <c r="E47" s="74" t="s">
        <v>166</v>
      </c>
      <c r="F47" s="74">
        <f t="shared" si="1"/>
        <v>25.470000000000002</v>
      </c>
      <c r="G47" s="74">
        <v>21.67</v>
      </c>
      <c r="H47" s="74">
        <v>1.26</v>
      </c>
      <c r="I47" s="74">
        <v>2.54</v>
      </c>
      <c r="J47" s="74">
        <v>0</v>
      </c>
    </row>
    <row r="48" spans="1:10" ht="12.75">
      <c r="A48" s="268"/>
      <c r="B48" s="271"/>
      <c r="C48" s="271"/>
      <c r="D48" s="273"/>
      <c r="E48" s="74" t="s">
        <v>167</v>
      </c>
      <c r="F48" s="74">
        <f t="shared" si="1"/>
        <v>3789.4999999999995</v>
      </c>
      <c r="G48" s="74">
        <f>384.54+2074+762.54</f>
        <v>3221.08</v>
      </c>
      <c r="H48" s="74">
        <f>22.62+122+44.85</f>
        <v>189.47</v>
      </c>
      <c r="I48" s="74">
        <f>45.24+244+89.71</f>
        <v>378.95</v>
      </c>
      <c r="J48" s="74">
        <v>0</v>
      </c>
    </row>
    <row r="49" spans="1:10" ht="12.75">
      <c r="A49" s="268"/>
      <c r="B49" s="271"/>
      <c r="C49" s="271"/>
      <c r="D49" s="273"/>
      <c r="E49" s="74" t="s">
        <v>168</v>
      </c>
      <c r="F49" s="74">
        <f t="shared" si="1"/>
        <v>1560</v>
      </c>
      <c r="G49" s="74">
        <v>1326</v>
      </c>
      <c r="H49" s="74">
        <v>78</v>
      </c>
      <c r="I49" s="74">
        <v>156</v>
      </c>
      <c r="J49" s="74">
        <v>0</v>
      </c>
    </row>
    <row r="50" spans="1:10" ht="12.75">
      <c r="A50" s="62"/>
      <c r="B50" s="62"/>
      <c r="C50" s="62"/>
      <c r="D50" s="62"/>
      <c r="E50" s="62"/>
      <c r="F50" s="88"/>
      <c r="G50" s="88"/>
      <c r="H50" s="88"/>
      <c r="I50" s="88"/>
      <c r="J50" s="88"/>
    </row>
    <row r="51" spans="1:10" ht="24">
      <c r="A51" s="274" t="s">
        <v>22</v>
      </c>
      <c r="B51" s="69" t="s">
        <v>181</v>
      </c>
      <c r="C51" s="89" t="s">
        <v>182</v>
      </c>
      <c r="D51" s="277">
        <v>2019</v>
      </c>
      <c r="E51" s="269">
        <v>2315291.41</v>
      </c>
      <c r="F51" s="259">
        <f>SUM(F57)</f>
        <v>2315291.41</v>
      </c>
      <c r="G51" s="259">
        <f>SUM(G57)</f>
        <v>1315273</v>
      </c>
      <c r="H51" s="259">
        <f>SUM(H57)</f>
        <v>751792.41</v>
      </c>
      <c r="I51" s="259">
        <f>SUM(I57)</f>
        <v>0</v>
      </c>
      <c r="J51" s="259">
        <f>SUM(J57)</f>
        <v>248226</v>
      </c>
    </row>
    <row r="52" spans="1:10" ht="12.75">
      <c r="A52" s="275"/>
      <c r="B52" s="262" t="s">
        <v>183</v>
      </c>
      <c r="C52" s="263"/>
      <c r="D52" s="278"/>
      <c r="E52" s="260"/>
      <c r="F52" s="260"/>
      <c r="G52" s="260"/>
      <c r="H52" s="260"/>
      <c r="I52" s="260"/>
      <c r="J52" s="260"/>
    </row>
    <row r="53" spans="1:10" ht="12.75">
      <c r="A53" s="275"/>
      <c r="B53" s="264"/>
      <c r="C53" s="265"/>
      <c r="D53" s="278"/>
      <c r="E53" s="260"/>
      <c r="F53" s="260"/>
      <c r="G53" s="260"/>
      <c r="H53" s="260"/>
      <c r="I53" s="260"/>
      <c r="J53" s="260"/>
    </row>
    <row r="54" spans="1:10" ht="12.75">
      <c r="A54" s="275"/>
      <c r="B54" s="264"/>
      <c r="C54" s="265"/>
      <c r="D54" s="278"/>
      <c r="E54" s="260"/>
      <c r="F54" s="260"/>
      <c r="G54" s="260"/>
      <c r="H54" s="260"/>
      <c r="I54" s="260"/>
      <c r="J54" s="260"/>
    </row>
    <row r="55" spans="1:10" ht="12.75">
      <c r="A55" s="275"/>
      <c r="B55" s="264"/>
      <c r="C55" s="265"/>
      <c r="D55" s="278"/>
      <c r="E55" s="260"/>
      <c r="F55" s="260"/>
      <c r="G55" s="260"/>
      <c r="H55" s="260"/>
      <c r="I55" s="260"/>
      <c r="J55" s="260"/>
    </row>
    <row r="56" spans="1:10" ht="12.75">
      <c r="A56" s="275"/>
      <c r="B56" s="264"/>
      <c r="C56" s="265"/>
      <c r="D56" s="278"/>
      <c r="E56" s="260"/>
      <c r="F56" s="260"/>
      <c r="G56" s="260"/>
      <c r="H56" s="260"/>
      <c r="I56" s="260"/>
      <c r="J56" s="260"/>
    </row>
    <row r="57" spans="1:10" ht="12.75">
      <c r="A57" s="276"/>
      <c r="B57" s="266"/>
      <c r="C57" s="267"/>
      <c r="D57" s="279"/>
      <c r="E57" s="74" t="s">
        <v>184</v>
      </c>
      <c r="F57" s="74">
        <f>SUM(G57:J57)</f>
        <v>2315291.41</v>
      </c>
      <c r="G57" s="74">
        <v>1315273</v>
      </c>
      <c r="H57" s="74">
        <v>751792.41</v>
      </c>
      <c r="I57" s="74">
        <v>0</v>
      </c>
      <c r="J57" s="75">
        <v>248226</v>
      </c>
    </row>
    <row r="58" spans="1:10" ht="60.75" customHeight="1">
      <c r="A58" s="90"/>
      <c r="B58" s="90"/>
      <c r="C58" s="90"/>
      <c r="D58" s="90"/>
      <c r="E58" s="90"/>
      <c r="F58" s="62"/>
      <c r="G58" s="62"/>
      <c r="H58" s="62"/>
      <c r="I58" s="62"/>
      <c r="J58" s="91"/>
    </row>
    <row r="59" spans="1:10" ht="24">
      <c r="A59" s="274" t="s">
        <v>25</v>
      </c>
      <c r="B59" s="69" t="s">
        <v>185</v>
      </c>
      <c r="C59" s="89" t="s">
        <v>186</v>
      </c>
      <c r="D59" s="280" t="s">
        <v>187</v>
      </c>
      <c r="E59" s="269">
        <v>19143964.4</v>
      </c>
      <c r="F59" s="259">
        <f>SUM(F65)</f>
        <v>5542953.97</v>
      </c>
      <c r="G59" s="259">
        <f>SUM(G65)</f>
        <v>4403887.13</v>
      </c>
      <c r="H59" s="259">
        <f>SUM(H65)</f>
        <v>777156.5499999999</v>
      </c>
      <c r="I59" s="259">
        <f>SUM(I65)</f>
        <v>0</v>
      </c>
      <c r="J59" s="259">
        <f>SUM(J65)</f>
        <v>361910.29</v>
      </c>
    </row>
    <row r="60" spans="1:10" ht="12.75">
      <c r="A60" s="275"/>
      <c r="B60" s="262" t="s">
        <v>188</v>
      </c>
      <c r="C60" s="263"/>
      <c r="D60" s="278"/>
      <c r="E60" s="260"/>
      <c r="F60" s="260"/>
      <c r="G60" s="260"/>
      <c r="H60" s="260"/>
      <c r="I60" s="260"/>
      <c r="J60" s="260"/>
    </row>
    <row r="61" spans="1:10" ht="12.75">
      <c r="A61" s="275"/>
      <c r="B61" s="264"/>
      <c r="C61" s="265"/>
      <c r="D61" s="278"/>
      <c r="E61" s="260"/>
      <c r="F61" s="260"/>
      <c r="G61" s="260"/>
      <c r="H61" s="260"/>
      <c r="I61" s="260"/>
      <c r="J61" s="260"/>
    </row>
    <row r="62" spans="1:10" ht="12.75">
      <c r="A62" s="275"/>
      <c r="B62" s="264"/>
      <c r="C62" s="265"/>
      <c r="D62" s="278"/>
      <c r="E62" s="260"/>
      <c r="F62" s="260"/>
      <c r="G62" s="260"/>
      <c r="H62" s="260"/>
      <c r="I62" s="260"/>
      <c r="J62" s="260"/>
    </row>
    <row r="63" spans="1:10" ht="12.75">
      <c r="A63" s="275"/>
      <c r="B63" s="264"/>
      <c r="C63" s="265"/>
      <c r="D63" s="278"/>
      <c r="E63" s="260"/>
      <c r="F63" s="260"/>
      <c r="G63" s="260"/>
      <c r="H63" s="260"/>
      <c r="I63" s="260"/>
      <c r="J63" s="260"/>
    </row>
    <row r="64" spans="1:10" ht="12.75">
      <c r="A64" s="275"/>
      <c r="B64" s="264"/>
      <c r="C64" s="265"/>
      <c r="D64" s="278"/>
      <c r="E64" s="260"/>
      <c r="F64" s="260"/>
      <c r="G64" s="260"/>
      <c r="H64" s="260"/>
      <c r="I64" s="260"/>
      <c r="J64" s="260"/>
    </row>
    <row r="65" spans="1:11" ht="41.25" customHeight="1">
      <c r="A65" s="276"/>
      <c r="B65" s="266"/>
      <c r="C65" s="267"/>
      <c r="D65" s="279"/>
      <c r="E65" s="74" t="s">
        <v>189</v>
      </c>
      <c r="F65" s="74">
        <f>SUM(G65:J65)</f>
        <v>5542953.97</v>
      </c>
      <c r="G65" s="74">
        <f>-39066.75+4442953.88</f>
        <v>4403887.13</v>
      </c>
      <c r="H65" s="74">
        <f>-6894.14+784050.69</f>
        <v>777156.5499999999</v>
      </c>
      <c r="I65" s="74">
        <v>0</v>
      </c>
      <c r="J65" s="92">
        <f>45960.98+315949.31</f>
        <v>361910.29</v>
      </c>
      <c r="K65" s="85">
        <f>SUM(G65:J65)</f>
        <v>5542953.97</v>
      </c>
    </row>
    <row r="66" ht="45.75" customHeight="1"/>
    <row r="67" spans="1:12" ht="33.75">
      <c r="A67" s="274" t="s">
        <v>27</v>
      </c>
      <c r="B67" s="69" t="s">
        <v>153</v>
      </c>
      <c r="C67" s="72" t="s">
        <v>154</v>
      </c>
      <c r="D67" s="280">
        <v>2019</v>
      </c>
      <c r="E67" s="269">
        <v>482155.46</v>
      </c>
      <c r="F67" s="259">
        <f>SUM(F73)</f>
        <v>482155.45999999996</v>
      </c>
      <c r="G67" s="259">
        <f>SUM(G73)</f>
        <v>302814</v>
      </c>
      <c r="H67" s="259">
        <f>SUM(H73)</f>
        <v>173085.46</v>
      </c>
      <c r="I67" s="259">
        <f>SUM(I73)</f>
        <v>0</v>
      </c>
      <c r="J67" s="259">
        <f>SUM(J73)</f>
        <v>6256</v>
      </c>
      <c r="L67" s="85"/>
    </row>
    <row r="68" spans="1:10" ht="12.75">
      <c r="A68" s="275"/>
      <c r="B68" s="262" t="s">
        <v>190</v>
      </c>
      <c r="C68" s="263"/>
      <c r="D68" s="278"/>
      <c r="E68" s="260"/>
      <c r="F68" s="260"/>
      <c r="G68" s="260"/>
      <c r="H68" s="260"/>
      <c r="I68" s="260"/>
      <c r="J68" s="260"/>
    </row>
    <row r="69" spans="1:10" ht="12.75">
      <c r="A69" s="275"/>
      <c r="B69" s="264"/>
      <c r="C69" s="265"/>
      <c r="D69" s="278"/>
      <c r="E69" s="260"/>
      <c r="F69" s="260"/>
      <c r="G69" s="260"/>
      <c r="H69" s="260"/>
      <c r="I69" s="260"/>
      <c r="J69" s="260"/>
    </row>
    <row r="70" spans="1:10" ht="12.75">
      <c r="A70" s="275"/>
      <c r="B70" s="264"/>
      <c r="C70" s="265"/>
      <c r="D70" s="278"/>
      <c r="E70" s="260"/>
      <c r="F70" s="260"/>
      <c r="G70" s="260"/>
      <c r="H70" s="260"/>
      <c r="I70" s="260"/>
      <c r="J70" s="260"/>
    </row>
    <row r="71" spans="1:10" ht="12.75">
      <c r="A71" s="275"/>
      <c r="B71" s="264"/>
      <c r="C71" s="265"/>
      <c r="D71" s="278"/>
      <c r="E71" s="260"/>
      <c r="F71" s="260"/>
      <c r="G71" s="260"/>
      <c r="H71" s="260"/>
      <c r="I71" s="260"/>
      <c r="J71" s="260"/>
    </row>
    <row r="72" spans="1:10" ht="12.75">
      <c r="A72" s="275"/>
      <c r="B72" s="264"/>
      <c r="C72" s="265"/>
      <c r="D72" s="278"/>
      <c r="E72" s="260"/>
      <c r="F72" s="260"/>
      <c r="G72" s="260"/>
      <c r="H72" s="260"/>
      <c r="I72" s="260"/>
      <c r="J72" s="260"/>
    </row>
    <row r="73" spans="1:10" ht="12.75">
      <c r="A73" s="276"/>
      <c r="B73" s="266"/>
      <c r="C73" s="267"/>
      <c r="D73" s="279"/>
      <c r="E73" s="74" t="s">
        <v>156</v>
      </c>
      <c r="F73" s="74">
        <f>SUM(G73:J73)</f>
        <v>482155.45999999996</v>
      </c>
      <c r="G73" s="74">
        <v>302814</v>
      </c>
      <c r="H73" s="74">
        <v>173085.46</v>
      </c>
      <c r="I73" s="74">
        <v>0</v>
      </c>
      <c r="J73" s="92">
        <v>6256</v>
      </c>
    </row>
    <row r="75" spans="1:10" ht="22.5">
      <c r="A75" s="274" t="s">
        <v>29</v>
      </c>
      <c r="B75" s="69" t="s">
        <v>191</v>
      </c>
      <c r="C75" s="72" t="s">
        <v>192</v>
      </c>
      <c r="D75" s="280" t="s">
        <v>193</v>
      </c>
      <c r="E75" s="269">
        <v>4177326.06</v>
      </c>
      <c r="F75" s="259">
        <f>SUM(F81)</f>
        <v>5000</v>
      </c>
      <c r="G75" s="259">
        <f>SUM(G81)</f>
        <v>4250</v>
      </c>
      <c r="H75" s="259">
        <f>SUM(H81)</f>
        <v>750</v>
      </c>
      <c r="I75" s="259">
        <f>SUM(I81)</f>
        <v>0</v>
      </c>
      <c r="J75" s="259">
        <f>SUM(J81)</f>
        <v>0</v>
      </c>
    </row>
    <row r="76" spans="1:10" ht="12.75">
      <c r="A76" s="275"/>
      <c r="B76" s="262" t="s">
        <v>194</v>
      </c>
      <c r="C76" s="263"/>
      <c r="D76" s="278"/>
      <c r="E76" s="260"/>
      <c r="F76" s="260"/>
      <c r="G76" s="260"/>
      <c r="H76" s="260"/>
      <c r="I76" s="260"/>
      <c r="J76" s="260"/>
    </row>
    <row r="77" spans="1:10" ht="12.75">
      <c r="A77" s="275"/>
      <c r="B77" s="264"/>
      <c r="C77" s="265"/>
      <c r="D77" s="278"/>
      <c r="E77" s="260"/>
      <c r="F77" s="260"/>
      <c r="G77" s="260"/>
      <c r="H77" s="260"/>
      <c r="I77" s="260"/>
      <c r="J77" s="260"/>
    </row>
    <row r="78" spans="1:10" ht="12.75">
      <c r="A78" s="275"/>
      <c r="B78" s="264"/>
      <c r="C78" s="265"/>
      <c r="D78" s="278"/>
      <c r="E78" s="260"/>
      <c r="F78" s="260"/>
      <c r="G78" s="260"/>
      <c r="H78" s="260"/>
      <c r="I78" s="260"/>
      <c r="J78" s="260"/>
    </row>
    <row r="79" spans="1:10" ht="12.75">
      <c r="A79" s="275"/>
      <c r="B79" s="264"/>
      <c r="C79" s="265"/>
      <c r="D79" s="278"/>
      <c r="E79" s="260"/>
      <c r="F79" s="260"/>
      <c r="G79" s="260"/>
      <c r="H79" s="260"/>
      <c r="I79" s="260"/>
      <c r="J79" s="260"/>
    </row>
    <row r="80" spans="1:10" ht="12.75">
      <c r="A80" s="275"/>
      <c r="B80" s="264"/>
      <c r="C80" s="265"/>
      <c r="D80" s="278"/>
      <c r="E80" s="260"/>
      <c r="F80" s="260"/>
      <c r="G80" s="260"/>
      <c r="H80" s="260"/>
      <c r="I80" s="260"/>
      <c r="J80" s="260"/>
    </row>
    <row r="81" spans="1:10" ht="12.75">
      <c r="A81" s="276"/>
      <c r="B81" s="266"/>
      <c r="C81" s="267"/>
      <c r="D81" s="279"/>
      <c r="E81" s="74" t="s">
        <v>156</v>
      </c>
      <c r="F81" s="74">
        <f>SUM(G81:J81)</f>
        <v>5000</v>
      </c>
      <c r="G81" s="74">
        <v>4250</v>
      </c>
      <c r="H81" s="74">
        <v>750</v>
      </c>
      <c r="I81" s="74">
        <v>0</v>
      </c>
      <c r="J81" s="92">
        <v>0</v>
      </c>
    </row>
    <row r="84" ht="12.75">
      <c r="L84" s="85"/>
    </row>
  </sheetData>
  <sheetProtection/>
  <mergeCells count="76">
    <mergeCell ref="H75:H80"/>
    <mergeCell ref="I75:I80"/>
    <mergeCell ref="J75:J80"/>
    <mergeCell ref="B76:C81"/>
    <mergeCell ref="B68:C73"/>
    <mergeCell ref="A75:A81"/>
    <mergeCell ref="D75:D81"/>
    <mergeCell ref="E75:E80"/>
    <mergeCell ref="F75:F80"/>
    <mergeCell ref="G75:G80"/>
    <mergeCell ref="J59:J64"/>
    <mergeCell ref="B60:C65"/>
    <mergeCell ref="A67:A73"/>
    <mergeCell ref="D67:D73"/>
    <mergeCell ref="E67:E72"/>
    <mergeCell ref="F67:F72"/>
    <mergeCell ref="G67:G72"/>
    <mergeCell ref="H67:H72"/>
    <mergeCell ref="I67:I72"/>
    <mergeCell ref="J67:J72"/>
    <mergeCell ref="I51:I56"/>
    <mergeCell ref="J51:J56"/>
    <mergeCell ref="B52:C57"/>
    <mergeCell ref="A59:A65"/>
    <mergeCell ref="D59:D65"/>
    <mergeCell ref="E59:E64"/>
    <mergeCell ref="F59:F64"/>
    <mergeCell ref="G59:G64"/>
    <mergeCell ref="H59:H64"/>
    <mergeCell ref="I59:I64"/>
    <mergeCell ref="H40:H41"/>
    <mergeCell ref="I40:I41"/>
    <mergeCell ref="J40:J41"/>
    <mergeCell ref="B41:C49"/>
    <mergeCell ref="A51:A57"/>
    <mergeCell ref="D51:D57"/>
    <mergeCell ref="E51:E56"/>
    <mergeCell ref="F51:F56"/>
    <mergeCell ref="G51:G56"/>
    <mergeCell ref="H51:H56"/>
    <mergeCell ref="B22:C38"/>
    <mergeCell ref="A40:A49"/>
    <mergeCell ref="D40:D49"/>
    <mergeCell ref="E40:E41"/>
    <mergeCell ref="F40:F41"/>
    <mergeCell ref="G40:G41"/>
    <mergeCell ref="J15:J17"/>
    <mergeCell ref="B16:C18"/>
    <mergeCell ref="A21:A38"/>
    <mergeCell ref="D21:D38"/>
    <mergeCell ref="E21:E22"/>
    <mergeCell ref="F21:F22"/>
    <mergeCell ref="G21:G22"/>
    <mergeCell ref="H21:H22"/>
    <mergeCell ref="I21:I22"/>
    <mergeCell ref="J21:J22"/>
    <mergeCell ref="I11:I13"/>
    <mergeCell ref="J11:J13"/>
    <mergeCell ref="B13:C13"/>
    <mergeCell ref="A15:A18"/>
    <mergeCell ref="D15:D18"/>
    <mergeCell ref="E15:E17"/>
    <mergeCell ref="F15:F17"/>
    <mergeCell ref="G15:G17"/>
    <mergeCell ref="H15:H17"/>
    <mergeCell ref="I15:I17"/>
    <mergeCell ref="A6:I6"/>
    <mergeCell ref="A8:A13"/>
    <mergeCell ref="B8:B12"/>
    <mergeCell ref="C8:C12"/>
    <mergeCell ref="D8:D13"/>
    <mergeCell ref="E8:E13"/>
    <mergeCell ref="F8:J10"/>
    <mergeCell ref="F11:F13"/>
    <mergeCell ref="G11:G13"/>
    <mergeCell ref="H11:H1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F37"/>
  <sheetViews>
    <sheetView zoomScalePageLayoutView="0" workbookViewId="0" topLeftCell="F1">
      <selection activeCell="AC3" sqref="AC3"/>
    </sheetView>
  </sheetViews>
  <sheetFormatPr defaultColWidth="12.125" defaultRowHeight="12.75"/>
  <cols>
    <col min="1" max="1" width="12.125" style="204" customWidth="1"/>
    <col min="2" max="2" width="12.125" style="1" customWidth="1"/>
    <col min="3" max="3" width="8.00390625" style="1" customWidth="1"/>
    <col min="4" max="6" width="8.25390625" style="1" customWidth="1"/>
    <col min="7" max="7" width="7.875" style="1" customWidth="1"/>
    <col min="8" max="8" width="8.125" style="1" customWidth="1"/>
    <col min="9" max="10" width="7.875" style="1" customWidth="1"/>
    <col min="11" max="11" width="8.875" style="1" customWidth="1"/>
    <col min="12" max="12" width="8.625" style="1" customWidth="1"/>
    <col min="13" max="13" width="7.875" style="1" customWidth="1"/>
    <col min="14" max="15" width="8.125" style="1" customWidth="1"/>
    <col min="16" max="16" width="8.00390625" style="1" customWidth="1"/>
    <col min="17" max="17" width="7.75390625" style="1" customWidth="1"/>
    <col min="18" max="18" width="8.00390625" style="1" customWidth="1"/>
    <col min="19" max="20" width="7.875" style="1" customWidth="1"/>
    <col min="21" max="21" width="8.25390625" style="1" customWidth="1"/>
    <col min="22" max="22" width="8.875" style="1" customWidth="1"/>
    <col min="23" max="24" width="8.00390625" style="1" customWidth="1"/>
    <col min="25" max="25" width="9.00390625" style="1" customWidth="1"/>
    <col min="26" max="26" width="7.875" style="1" customWidth="1"/>
    <col min="27" max="27" width="8.875" style="1" customWidth="1"/>
    <col min="28" max="28" width="7.625" style="1" customWidth="1"/>
    <col min="29" max="29" width="8.00390625" style="1" customWidth="1"/>
    <col min="30" max="31" width="8.625" style="1" customWidth="1"/>
    <col min="32" max="32" width="7.875" style="1" customWidth="1"/>
    <col min="33" max="16384" width="12.125" style="1" customWidth="1"/>
  </cols>
  <sheetData>
    <row r="1" spans="1:32" ht="11.25">
      <c r="A1" s="190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2" t="s">
        <v>315</v>
      </c>
      <c r="AD1" s="191"/>
      <c r="AE1" s="191"/>
      <c r="AF1" s="191"/>
    </row>
    <row r="2" spans="1:32" ht="11.25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2"/>
      <c r="X2" s="2"/>
      <c r="Y2" s="2"/>
      <c r="Z2" s="2"/>
      <c r="AA2" s="191"/>
      <c r="AB2" s="191"/>
      <c r="AC2" s="2" t="s">
        <v>318</v>
      </c>
      <c r="AD2" s="191"/>
      <c r="AE2" s="191"/>
      <c r="AF2" s="191"/>
    </row>
    <row r="3" spans="1:32" ht="11.25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2"/>
      <c r="X3" s="2"/>
      <c r="Y3" s="2"/>
      <c r="Z3" s="2"/>
      <c r="AA3" s="191"/>
      <c r="AB3" s="191"/>
      <c r="AC3" s="2" t="s">
        <v>196</v>
      </c>
      <c r="AD3" s="191"/>
      <c r="AE3" s="191"/>
      <c r="AF3" s="191"/>
    </row>
    <row r="4" spans="1:32" ht="11.25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2"/>
      <c r="X4" s="2"/>
      <c r="Y4" s="2"/>
      <c r="Z4" s="2"/>
      <c r="AA4" s="191"/>
      <c r="AB4" s="191"/>
      <c r="AC4" s="2" t="s">
        <v>282</v>
      </c>
      <c r="AD4" s="191"/>
      <c r="AE4" s="191"/>
      <c r="AF4" s="191"/>
    </row>
    <row r="6" spans="1:32" ht="11.25">
      <c r="A6" s="287" t="s">
        <v>287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</row>
    <row r="7" spans="1:32" ht="11.25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</row>
    <row r="8" spans="1:32" ht="11.25">
      <c r="A8" s="288" t="s">
        <v>288</v>
      </c>
      <c r="B8" s="291" t="s">
        <v>289</v>
      </c>
      <c r="C8" s="281" t="s">
        <v>290</v>
      </c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4"/>
    </row>
    <row r="9" spans="1:32" ht="12.75">
      <c r="A9" s="289"/>
      <c r="B9" s="292"/>
      <c r="C9" s="294" t="s">
        <v>1</v>
      </c>
      <c r="D9" s="295"/>
      <c r="E9" s="295"/>
      <c r="F9" s="296"/>
      <c r="G9" s="281">
        <v>600</v>
      </c>
      <c r="H9" s="282"/>
      <c r="I9" s="282"/>
      <c r="J9" s="282"/>
      <c r="K9" s="282"/>
      <c r="L9" s="193">
        <v>754</v>
      </c>
      <c r="M9" s="193">
        <v>801</v>
      </c>
      <c r="N9" s="281">
        <v>900</v>
      </c>
      <c r="O9" s="283"/>
      <c r="P9" s="297">
        <v>921</v>
      </c>
      <c r="Q9" s="298"/>
      <c r="R9" s="298"/>
      <c r="S9" s="298"/>
      <c r="T9" s="298"/>
      <c r="U9" s="298"/>
      <c r="V9" s="298"/>
      <c r="W9" s="298"/>
      <c r="X9" s="298"/>
      <c r="Y9" s="298"/>
      <c r="Z9" s="299"/>
      <c r="AA9" s="286">
        <v>926</v>
      </c>
      <c r="AB9" s="286"/>
      <c r="AC9" s="286"/>
      <c r="AD9" s="286"/>
      <c r="AE9" s="286"/>
      <c r="AF9" s="286"/>
    </row>
    <row r="10" spans="1:32" ht="12.75">
      <c r="A10" s="289"/>
      <c r="B10" s="292"/>
      <c r="C10" s="294" t="s">
        <v>291</v>
      </c>
      <c r="D10" s="295"/>
      <c r="E10" s="296"/>
      <c r="F10" s="192" t="s">
        <v>292</v>
      </c>
      <c r="G10" s="281">
        <v>60016</v>
      </c>
      <c r="H10" s="282"/>
      <c r="I10" s="282"/>
      <c r="J10" s="282"/>
      <c r="K10" s="282"/>
      <c r="L10" s="193">
        <v>75412</v>
      </c>
      <c r="M10" s="193">
        <v>80101</v>
      </c>
      <c r="N10" s="281">
        <v>90015</v>
      </c>
      <c r="O10" s="283"/>
      <c r="P10" s="281">
        <v>92109</v>
      </c>
      <c r="Q10" s="282"/>
      <c r="R10" s="282"/>
      <c r="S10" s="282"/>
      <c r="T10" s="284"/>
      <c r="U10" s="281">
        <v>92195</v>
      </c>
      <c r="V10" s="285"/>
      <c r="W10" s="285"/>
      <c r="X10" s="285"/>
      <c r="Y10" s="285"/>
      <c r="Z10" s="283"/>
      <c r="AA10" s="284">
        <v>92695</v>
      </c>
      <c r="AB10" s="286"/>
      <c r="AC10" s="286"/>
      <c r="AD10" s="286"/>
      <c r="AE10" s="286"/>
      <c r="AF10" s="286"/>
    </row>
    <row r="11" spans="1:32" ht="11.25">
      <c r="A11" s="290"/>
      <c r="B11" s="293"/>
      <c r="C11" s="194">
        <v>4210</v>
      </c>
      <c r="D11" s="194">
        <v>4300</v>
      </c>
      <c r="E11" s="194">
        <v>6050</v>
      </c>
      <c r="F11" s="194">
        <v>6050</v>
      </c>
      <c r="G11" s="195">
        <v>4210</v>
      </c>
      <c r="H11" s="195">
        <v>4270</v>
      </c>
      <c r="I11" s="195">
        <v>4300</v>
      </c>
      <c r="J11" s="195">
        <v>4520</v>
      </c>
      <c r="K11" s="195">
        <v>6050</v>
      </c>
      <c r="L11" s="195">
        <v>4210</v>
      </c>
      <c r="M11" s="195">
        <v>4210</v>
      </c>
      <c r="N11" s="195">
        <v>6050</v>
      </c>
      <c r="O11" s="195">
        <v>4300</v>
      </c>
      <c r="P11" s="195">
        <v>4210</v>
      </c>
      <c r="Q11" s="195">
        <v>4260</v>
      </c>
      <c r="R11" s="195">
        <v>4300</v>
      </c>
      <c r="S11" s="195">
        <v>4430</v>
      </c>
      <c r="T11" s="195">
        <v>6050</v>
      </c>
      <c r="U11" s="195">
        <v>4110</v>
      </c>
      <c r="V11" s="195">
        <v>4170</v>
      </c>
      <c r="W11" s="195">
        <v>4210</v>
      </c>
      <c r="X11" s="195">
        <v>4220</v>
      </c>
      <c r="Y11" s="195">
        <v>4300</v>
      </c>
      <c r="Z11" s="195">
        <v>6050</v>
      </c>
      <c r="AA11" s="195">
        <v>4210</v>
      </c>
      <c r="AB11" s="195">
        <v>4260</v>
      </c>
      <c r="AC11" s="195">
        <v>4270</v>
      </c>
      <c r="AD11" s="195">
        <v>4300</v>
      </c>
      <c r="AE11" s="195">
        <v>6060</v>
      </c>
      <c r="AF11" s="195">
        <v>6050</v>
      </c>
    </row>
    <row r="12" spans="1:32" ht="11.25">
      <c r="A12" s="196" t="s">
        <v>293</v>
      </c>
      <c r="B12" s="197">
        <f aca="true" t="shared" si="0" ref="B12:B33">SUM(C12:AF12)</f>
        <v>17340.870000000003</v>
      </c>
      <c r="C12" s="197"/>
      <c r="D12" s="197"/>
      <c r="E12" s="197"/>
      <c r="F12" s="197"/>
      <c r="G12" s="197"/>
      <c r="H12" s="197">
        <v>12740.87</v>
      </c>
      <c r="I12" s="197"/>
      <c r="J12" s="197"/>
      <c r="K12" s="197"/>
      <c r="L12" s="197"/>
      <c r="M12" s="197"/>
      <c r="N12" s="197"/>
      <c r="O12" s="197"/>
      <c r="P12" s="197">
        <v>1604</v>
      </c>
      <c r="Q12" s="197"/>
      <c r="R12" s="197">
        <f>150+150</f>
        <v>300</v>
      </c>
      <c r="S12" s="197">
        <v>96</v>
      </c>
      <c r="T12" s="197"/>
      <c r="U12" s="197"/>
      <c r="V12" s="197"/>
      <c r="W12" s="197">
        <f>500+100</f>
        <v>600</v>
      </c>
      <c r="X12" s="197">
        <v>500</v>
      </c>
      <c r="Y12" s="197">
        <v>1500</v>
      </c>
      <c r="Z12" s="197"/>
      <c r="AA12" s="197"/>
      <c r="AB12" s="197"/>
      <c r="AC12" s="197"/>
      <c r="AD12" s="197"/>
      <c r="AE12" s="197"/>
      <c r="AF12" s="197"/>
    </row>
    <row r="13" spans="1:32" ht="11.25">
      <c r="A13" s="196" t="s">
        <v>294</v>
      </c>
      <c r="B13" s="197">
        <f t="shared" si="0"/>
        <v>10166.66</v>
      </c>
      <c r="C13" s="197"/>
      <c r="D13" s="197"/>
      <c r="E13" s="197"/>
      <c r="F13" s="197"/>
      <c r="G13" s="197"/>
      <c r="H13" s="197"/>
      <c r="I13" s="197"/>
      <c r="J13" s="197"/>
      <c r="K13" s="197">
        <v>10166.66</v>
      </c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</row>
    <row r="14" spans="1:32" ht="11.25">
      <c r="A14" s="196" t="s">
        <v>295</v>
      </c>
      <c r="B14" s="197">
        <f t="shared" si="0"/>
        <v>28351.55</v>
      </c>
      <c r="C14" s="197"/>
      <c r="D14" s="197">
        <v>500</v>
      </c>
      <c r="E14" s="197"/>
      <c r="F14" s="197"/>
      <c r="G14" s="197"/>
      <c r="H14" s="197">
        <v>500</v>
      </c>
      <c r="I14" s="197">
        <v>18000</v>
      </c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>
        <v>265</v>
      </c>
      <c r="V14" s="197">
        <v>1535</v>
      </c>
      <c r="W14" s="197">
        <v>1914</v>
      </c>
      <c r="X14" s="197">
        <v>450.55</v>
      </c>
      <c r="Y14" s="197">
        <v>1687</v>
      </c>
      <c r="Z14" s="197"/>
      <c r="AA14" s="197">
        <v>2872</v>
      </c>
      <c r="AB14" s="197"/>
      <c r="AC14" s="197"/>
      <c r="AD14" s="197">
        <v>628</v>
      </c>
      <c r="AE14" s="197"/>
      <c r="AF14" s="197"/>
    </row>
    <row r="15" spans="1:32" ht="11.25">
      <c r="A15" s="196" t="s">
        <v>296</v>
      </c>
      <c r="B15" s="197">
        <f t="shared" si="0"/>
        <v>16496.84</v>
      </c>
      <c r="C15" s="197"/>
      <c r="D15" s="197">
        <v>330</v>
      </c>
      <c r="E15" s="197"/>
      <c r="F15" s="197"/>
      <c r="G15" s="197"/>
      <c r="H15" s="197"/>
      <c r="I15" s="197">
        <f>2500+2800</f>
        <v>5300</v>
      </c>
      <c r="J15" s="197"/>
      <c r="K15" s="197"/>
      <c r="L15" s="197"/>
      <c r="M15" s="197"/>
      <c r="N15" s="197">
        <v>8000</v>
      </c>
      <c r="O15" s="197"/>
      <c r="P15" s="197"/>
      <c r="Q15" s="197">
        <v>300</v>
      </c>
      <c r="R15" s="197">
        <f>400</f>
        <v>400</v>
      </c>
      <c r="S15" s="197">
        <v>200</v>
      </c>
      <c r="T15" s="197"/>
      <c r="U15" s="197"/>
      <c r="V15" s="197"/>
      <c r="W15" s="197">
        <v>196.84</v>
      </c>
      <c r="X15" s="197"/>
      <c r="Y15" s="197">
        <f>1670</f>
        <v>1670</v>
      </c>
      <c r="Z15" s="197"/>
      <c r="AA15" s="197"/>
      <c r="AB15" s="197"/>
      <c r="AC15" s="197"/>
      <c r="AD15" s="197">
        <v>100</v>
      </c>
      <c r="AE15" s="197"/>
      <c r="AF15" s="197"/>
    </row>
    <row r="16" spans="1:32" ht="11.25">
      <c r="A16" s="196" t="s">
        <v>297</v>
      </c>
      <c r="B16" s="197">
        <f t="shared" si="0"/>
        <v>37597.46</v>
      </c>
      <c r="C16" s="197"/>
      <c r="D16" s="197">
        <v>750</v>
      </c>
      <c r="E16" s="197"/>
      <c r="F16" s="197"/>
      <c r="G16" s="197"/>
      <c r="H16" s="197"/>
      <c r="I16" s="197"/>
      <c r="J16" s="197"/>
      <c r="K16" s="197"/>
      <c r="L16" s="197"/>
      <c r="M16" s="197">
        <v>5000</v>
      </c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>
        <v>2000</v>
      </c>
      <c r="Y16" s="197">
        <v>2000</v>
      </c>
      <c r="Z16" s="197"/>
      <c r="AA16" s="197"/>
      <c r="AB16" s="197"/>
      <c r="AC16" s="197"/>
      <c r="AD16" s="197">
        <v>200</v>
      </c>
      <c r="AE16" s="197"/>
      <c r="AF16" s="197">
        <v>27647.46</v>
      </c>
    </row>
    <row r="17" spans="1:32" ht="11.25">
      <c r="A17" s="196" t="s">
        <v>298</v>
      </c>
      <c r="B17" s="197">
        <f t="shared" si="0"/>
        <v>18606.91</v>
      </c>
      <c r="C17" s="197"/>
      <c r="D17" s="197">
        <v>400</v>
      </c>
      <c r="E17" s="197">
        <v>10000</v>
      </c>
      <c r="F17" s="197"/>
      <c r="G17" s="197"/>
      <c r="H17" s="197"/>
      <c r="I17" s="197">
        <v>1000</v>
      </c>
      <c r="J17" s="197"/>
      <c r="K17" s="197"/>
      <c r="L17" s="197"/>
      <c r="M17" s="197"/>
      <c r="N17" s="197"/>
      <c r="O17" s="197">
        <v>1706.91</v>
      </c>
      <c r="P17" s="197"/>
      <c r="Q17" s="197"/>
      <c r="R17" s="197"/>
      <c r="S17" s="197">
        <v>300</v>
      </c>
      <c r="T17" s="197"/>
      <c r="U17" s="197"/>
      <c r="V17" s="197"/>
      <c r="W17" s="197">
        <v>1500</v>
      </c>
      <c r="X17" s="197">
        <v>1000</v>
      </c>
      <c r="Y17" s="197">
        <v>1200</v>
      </c>
      <c r="Z17" s="197"/>
      <c r="AA17" s="197">
        <v>500</v>
      </c>
      <c r="AB17" s="197"/>
      <c r="AC17" s="197"/>
      <c r="AD17" s="197">
        <v>1000</v>
      </c>
      <c r="AE17" s="197"/>
      <c r="AF17" s="197"/>
    </row>
    <row r="18" spans="1:32" ht="11.25">
      <c r="A18" s="196" t="s">
        <v>299</v>
      </c>
      <c r="B18" s="197">
        <f t="shared" si="0"/>
        <v>17686.15</v>
      </c>
      <c r="C18" s="197"/>
      <c r="D18" s="197">
        <v>3839</v>
      </c>
      <c r="E18" s="197"/>
      <c r="F18" s="197"/>
      <c r="G18" s="197"/>
      <c r="H18" s="197"/>
      <c r="I18" s="197">
        <v>2000</v>
      </c>
      <c r="J18" s="197"/>
      <c r="K18" s="197"/>
      <c r="L18" s="197"/>
      <c r="M18" s="197"/>
      <c r="N18" s="197"/>
      <c r="O18" s="197"/>
      <c r="P18" s="197">
        <v>500</v>
      </c>
      <c r="Q18" s="197">
        <v>200</v>
      </c>
      <c r="R18" s="197">
        <v>123</v>
      </c>
      <c r="S18" s="197">
        <v>100</v>
      </c>
      <c r="T18" s="197"/>
      <c r="U18" s="197"/>
      <c r="V18" s="197"/>
      <c r="W18" s="197"/>
      <c r="X18" s="197">
        <v>1000</v>
      </c>
      <c r="Y18" s="197">
        <v>1000</v>
      </c>
      <c r="Z18" s="197"/>
      <c r="AA18" s="197">
        <v>500</v>
      </c>
      <c r="AB18" s="197"/>
      <c r="AC18" s="197"/>
      <c r="AD18" s="197">
        <v>8424.15</v>
      </c>
      <c r="AE18" s="197"/>
      <c r="AF18" s="197"/>
    </row>
    <row r="19" spans="1:32" ht="11.25">
      <c r="A19" s="196" t="s">
        <v>300</v>
      </c>
      <c r="B19" s="197">
        <f t="shared" si="0"/>
        <v>21215.71</v>
      </c>
      <c r="C19" s="197"/>
      <c r="D19" s="197">
        <v>400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>
        <v>295</v>
      </c>
      <c r="X19" s="197">
        <v>1615.71</v>
      </c>
      <c r="Y19" s="197">
        <v>1000</v>
      </c>
      <c r="Z19" s="197">
        <v>17905</v>
      </c>
      <c r="AA19" s="197"/>
      <c r="AB19" s="197"/>
      <c r="AC19" s="197"/>
      <c r="AD19" s="197"/>
      <c r="AE19" s="197"/>
      <c r="AF19" s="197"/>
    </row>
    <row r="20" spans="1:32" ht="11.25">
      <c r="A20" s="196" t="s">
        <v>301</v>
      </c>
      <c r="B20" s="197">
        <f t="shared" si="0"/>
        <v>20179.86</v>
      </c>
      <c r="C20" s="197"/>
      <c r="D20" s="197">
        <v>400</v>
      </c>
      <c r="E20" s="197"/>
      <c r="F20" s="197"/>
      <c r="G20" s="197"/>
      <c r="H20" s="197"/>
      <c r="I20" s="197"/>
      <c r="J20" s="197"/>
      <c r="K20" s="197">
        <v>0</v>
      </c>
      <c r="L20" s="197"/>
      <c r="M20" s="197"/>
      <c r="N20" s="197"/>
      <c r="O20" s="197"/>
      <c r="P20" s="197">
        <v>900</v>
      </c>
      <c r="Q20" s="197"/>
      <c r="R20" s="197">
        <v>200</v>
      </c>
      <c r="S20" s="197">
        <v>100</v>
      </c>
      <c r="T20" s="197">
        <v>13000</v>
      </c>
      <c r="U20" s="197"/>
      <c r="V20" s="197"/>
      <c r="W20" s="197"/>
      <c r="X20" s="197">
        <v>779.86</v>
      </c>
      <c r="Y20" s="197">
        <v>4700</v>
      </c>
      <c r="Z20" s="197"/>
      <c r="AA20" s="197"/>
      <c r="AB20" s="197"/>
      <c r="AC20" s="197"/>
      <c r="AD20" s="197">
        <v>100</v>
      </c>
      <c r="AE20" s="197"/>
      <c r="AF20" s="197"/>
    </row>
    <row r="21" spans="1:32" ht="11.25">
      <c r="A21" s="196" t="s">
        <v>302</v>
      </c>
      <c r="B21" s="197">
        <f t="shared" si="0"/>
        <v>14194.96</v>
      </c>
      <c r="C21" s="197">
        <v>0</v>
      </c>
      <c r="D21" s="197">
        <v>250</v>
      </c>
      <c r="E21" s="197"/>
      <c r="F21" s="197"/>
      <c r="G21" s="197">
        <v>900</v>
      </c>
      <c r="H21" s="197"/>
      <c r="I21" s="197">
        <v>1244.96</v>
      </c>
      <c r="J21" s="197"/>
      <c r="K21" s="197"/>
      <c r="L21" s="197"/>
      <c r="M21" s="197"/>
      <c r="N21" s="197">
        <v>9000</v>
      </c>
      <c r="O21" s="197"/>
      <c r="P21" s="197">
        <v>0</v>
      </c>
      <c r="Q21" s="197">
        <v>300</v>
      </c>
      <c r="R21" s="197"/>
      <c r="S21" s="197"/>
      <c r="T21" s="197"/>
      <c r="U21" s="197"/>
      <c r="V21" s="197"/>
      <c r="W21" s="197">
        <v>100</v>
      </c>
      <c r="X21" s="197">
        <v>200</v>
      </c>
      <c r="Y21" s="197">
        <v>1700</v>
      </c>
      <c r="Z21" s="197"/>
      <c r="AA21" s="197">
        <v>400</v>
      </c>
      <c r="AB21" s="197"/>
      <c r="AC21" s="197"/>
      <c r="AD21" s="197">
        <v>100</v>
      </c>
      <c r="AE21" s="197"/>
      <c r="AF21" s="197"/>
    </row>
    <row r="22" spans="1:32" ht="11.25">
      <c r="A22" s="196" t="s">
        <v>303</v>
      </c>
      <c r="B22" s="197">
        <f t="shared" si="0"/>
        <v>9552.82</v>
      </c>
      <c r="C22" s="197"/>
      <c r="D22" s="197">
        <v>200</v>
      </c>
      <c r="E22" s="197"/>
      <c r="F22" s="197">
        <v>8352.82</v>
      </c>
      <c r="G22" s="197"/>
      <c r="H22" s="197"/>
      <c r="I22" s="197">
        <v>0</v>
      </c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>
        <v>1000</v>
      </c>
      <c r="Y22" s="197"/>
      <c r="Z22" s="197"/>
      <c r="AA22" s="197"/>
      <c r="AB22" s="197"/>
      <c r="AC22" s="197"/>
      <c r="AD22" s="197"/>
      <c r="AE22" s="197"/>
      <c r="AF22" s="197"/>
    </row>
    <row r="23" spans="1:32" ht="11.25">
      <c r="A23" s="196" t="s">
        <v>304</v>
      </c>
      <c r="B23" s="197">
        <f t="shared" si="0"/>
        <v>14233.32</v>
      </c>
      <c r="C23" s="197">
        <v>1300</v>
      </c>
      <c r="D23" s="197">
        <v>280</v>
      </c>
      <c r="E23" s="197"/>
      <c r="F23" s="197"/>
      <c r="G23" s="197"/>
      <c r="H23" s="197"/>
      <c r="I23" s="197">
        <f>5000+1000</f>
        <v>6000</v>
      </c>
      <c r="J23" s="197"/>
      <c r="K23" s="197"/>
      <c r="L23" s="197"/>
      <c r="M23" s="197"/>
      <c r="N23" s="197"/>
      <c r="O23" s="197"/>
      <c r="P23" s="197">
        <v>300</v>
      </c>
      <c r="Q23" s="197"/>
      <c r="R23" s="197"/>
      <c r="S23" s="197"/>
      <c r="T23" s="197"/>
      <c r="U23" s="197"/>
      <c r="V23" s="197"/>
      <c r="W23" s="197"/>
      <c r="X23" s="197"/>
      <c r="Y23" s="197">
        <f>4000+600</f>
        <v>4600</v>
      </c>
      <c r="Z23" s="197"/>
      <c r="AA23" s="197"/>
      <c r="AB23" s="197"/>
      <c r="AC23" s="197"/>
      <c r="AD23" s="197">
        <v>1753.32</v>
      </c>
      <c r="AE23" s="197"/>
      <c r="AF23" s="197"/>
    </row>
    <row r="24" spans="1:32" ht="11.25">
      <c r="A24" s="196" t="s">
        <v>305</v>
      </c>
      <c r="B24" s="197">
        <f t="shared" si="0"/>
        <v>24553.44</v>
      </c>
      <c r="C24" s="197"/>
      <c r="D24" s="197">
        <v>491.07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>
        <v>0</v>
      </c>
      <c r="Q24" s="197"/>
      <c r="R24" s="197"/>
      <c r="S24" s="197"/>
      <c r="T24" s="197">
        <v>23962.37</v>
      </c>
      <c r="U24" s="197"/>
      <c r="V24" s="197"/>
      <c r="W24" s="197"/>
      <c r="X24" s="197"/>
      <c r="Y24" s="197"/>
      <c r="Z24" s="197"/>
      <c r="AA24" s="197"/>
      <c r="AB24" s="197"/>
      <c r="AC24" s="197"/>
      <c r="AD24" s="197">
        <v>100</v>
      </c>
      <c r="AE24" s="197"/>
      <c r="AF24" s="197"/>
    </row>
    <row r="25" spans="1:32" ht="11.25">
      <c r="A25" s="196" t="s">
        <v>306</v>
      </c>
      <c r="B25" s="197">
        <f t="shared" si="0"/>
        <v>19182.38</v>
      </c>
      <c r="C25" s="197">
        <v>3251</v>
      </c>
      <c r="D25" s="197">
        <v>380</v>
      </c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>
        <v>5901.38</v>
      </c>
      <c r="X25" s="197">
        <v>500</v>
      </c>
      <c r="Y25" s="197">
        <v>1500</v>
      </c>
      <c r="Z25" s="197"/>
      <c r="AA25" s="197">
        <v>500</v>
      </c>
      <c r="AB25" s="197"/>
      <c r="AC25" s="197"/>
      <c r="AD25" s="197">
        <v>7150</v>
      </c>
      <c r="AE25" s="197"/>
      <c r="AF25" s="197"/>
    </row>
    <row r="26" spans="1:32" ht="11.25">
      <c r="A26" s="196" t="s">
        <v>307</v>
      </c>
      <c r="B26" s="197">
        <f t="shared" si="0"/>
        <v>10665.4</v>
      </c>
      <c r="C26" s="197"/>
      <c r="D26" s="197">
        <v>215</v>
      </c>
      <c r="E26" s="197">
        <v>4000</v>
      </c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>
        <v>1000</v>
      </c>
      <c r="X26" s="197">
        <v>1000</v>
      </c>
      <c r="Y26" s="197">
        <v>250.4</v>
      </c>
      <c r="Z26" s="197"/>
      <c r="AA26" s="197">
        <v>3500</v>
      </c>
      <c r="AB26" s="197"/>
      <c r="AC26" s="197"/>
      <c r="AD26" s="197">
        <v>700</v>
      </c>
      <c r="AE26" s="197"/>
      <c r="AF26" s="197"/>
    </row>
    <row r="27" spans="1:32" ht="22.5">
      <c r="A27" s="196" t="s">
        <v>308</v>
      </c>
      <c r="B27" s="197">
        <f t="shared" si="0"/>
        <v>19220.739999999998</v>
      </c>
      <c r="C27" s="197"/>
      <c r="D27" s="197">
        <v>400</v>
      </c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>
        <v>3000</v>
      </c>
      <c r="Z27" s="197"/>
      <c r="AA27" s="197">
        <f>1570.74+400</f>
        <v>1970.74</v>
      </c>
      <c r="AB27" s="197">
        <v>400</v>
      </c>
      <c r="AC27" s="197"/>
      <c r="AD27" s="197">
        <v>200</v>
      </c>
      <c r="AE27" s="197">
        <v>13250</v>
      </c>
      <c r="AF27" s="197"/>
    </row>
    <row r="28" spans="1:32" ht="11.25">
      <c r="A28" s="196" t="s">
        <v>309</v>
      </c>
      <c r="B28" s="197">
        <f t="shared" si="0"/>
        <v>11509.43</v>
      </c>
      <c r="C28" s="197"/>
      <c r="D28" s="197">
        <v>200</v>
      </c>
      <c r="E28" s="197"/>
      <c r="F28" s="197"/>
      <c r="G28" s="197">
        <v>150</v>
      </c>
      <c r="H28" s="197"/>
      <c r="I28" s="197">
        <f>159.43+1500</f>
        <v>1659.43</v>
      </c>
      <c r="J28" s="197"/>
      <c r="K28" s="197"/>
      <c r="L28" s="197"/>
      <c r="M28" s="197">
        <v>1000</v>
      </c>
      <c r="N28" s="197">
        <v>8500</v>
      </c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</row>
    <row r="29" spans="1:32" ht="11.25">
      <c r="A29" s="196" t="s">
        <v>310</v>
      </c>
      <c r="B29" s="197">
        <f t="shared" si="0"/>
        <v>18530.18</v>
      </c>
      <c r="C29" s="197"/>
      <c r="D29" s="197">
        <v>500</v>
      </c>
      <c r="E29" s="197"/>
      <c r="F29" s="197"/>
      <c r="G29" s="197"/>
      <c r="H29" s="197"/>
      <c r="I29" s="197">
        <v>2000</v>
      </c>
      <c r="J29" s="197"/>
      <c r="K29" s="197"/>
      <c r="L29" s="197">
        <v>3340.18</v>
      </c>
      <c r="M29" s="197"/>
      <c r="N29" s="197"/>
      <c r="O29" s="197"/>
      <c r="P29" s="197">
        <v>2000</v>
      </c>
      <c r="Q29" s="197">
        <v>500</v>
      </c>
      <c r="R29" s="197">
        <f>400+4500</f>
        <v>4900</v>
      </c>
      <c r="S29" s="197">
        <v>290</v>
      </c>
      <c r="T29" s="197"/>
      <c r="U29" s="197"/>
      <c r="V29" s="197"/>
      <c r="W29" s="197"/>
      <c r="X29" s="197">
        <v>1055</v>
      </c>
      <c r="Y29" s="197">
        <v>3822</v>
      </c>
      <c r="Z29" s="197"/>
      <c r="AA29" s="197"/>
      <c r="AB29" s="197"/>
      <c r="AC29" s="197"/>
      <c r="AD29" s="197">
        <v>123</v>
      </c>
      <c r="AE29" s="197"/>
      <c r="AF29" s="197"/>
    </row>
    <row r="30" spans="1:32" ht="11.25">
      <c r="A30" s="196" t="s">
        <v>311</v>
      </c>
      <c r="B30" s="197">
        <f t="shared" si="0"/>
        <v>14655.34</v>
      </c>
      <c r="C30" s="197"/>
      <c r="D30" s="197">
        <v>280</v>
      </c>
      <c r="E30" s="197"/>
      <c r="F30" s="197"/>
      <c r="G30" s="197"/>
      <c r="H30" s="197"/>
      <c r="I30" s="197">
        <v>1500</v>
      </c>
      <c r="J30" s="197"/>
      <c r="K30" s="197"/>
      <c r="L30" s="197">
        <v>10000</v>
      </c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>
        <f>400+375.34+500</f>
        <v>1275.34</v>
      </c>
      <c r="AB30" s="197"/>
      <c r="AC30" s="197"/>
      <c r="AD30" s="197">
        <f>100+1500</f>
        <v>1600</v>
      </c>
      <c r="AE30" s="197"/>
      <c r="AF30" s="197"/>
    </row>
    <row r="31" spans="1:32" ht="11.25">
      <c r="A31" s="196" t="s">
        <v>312</v>
      </c>
      <c r="B31" s="197">
        <f t="shared" si="0"/>
        <v>12583.64</v>
      </c>
      <c r="C31" s="197"/>
      <c r="D31" s="197">
        <v>250</v>
      </c>
      <c r="E31" s="197"/>
      <c r="F31" s="197"/>
      <c r="G31" s="197"/>
      <c r="H31" s="197"/>
      <c r="I31" s="197"/>
      <c r="J31" s="197"/>
      <c r="K31" s="197">
        <v>12333.64</v>
      </c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</row>
    <row r="32" spans="1:32" s="200" customFormat="1" ht="10.5">
      <c r="A32" s="198" t="s">
        <v>313</v>
      </c>
      <c r="B32" s="199">
        <f t="shared" si="0"/>
        <v>31420.73</v>
      </c>
      <c r="C32" s="199"/>
      <c r="D32" s="199">
        <v>620</v>
      </c>
      <c r="E32" s="199"/>
      <c r="F32" s="199"/>
      <c r="G32" s="199"/>
      <c r="H32" s="199"/>
      <c r="I32" s="199">
        <v>13362.13</v>
      </c>
      <c r="J32" s="199">
        <v>38.6</v>
      </c>
      <c r="K32" s="199"/>
      <c r="L32" s="199"/>
      <c r="M32" s="199"/>
      <c r="N32" s="199"/>
      <c r="O32" s="199"/>
      <c r="P32" s="199"/>
      <c r="Q32" s="199">
        <v>300</v>
      </c>
      <c r="R32" s="199">
        <v>369</v>
      </c>
      <c r="S32" s="199">
        <v>300</v>
      </c>
      <c r="T32" s="199"/>
      <c r="U32" s="199"/>
      <c r="V32" s="199"/>
      <c r="W32" s="199">
        <f>1300+600</f>
        <v>1900</v>
      </c>
      <c r="X32" s="199">
        <v>2008</v>
      </c>
      <c r="Y32" s="199">
        <v>2000</v>
      </c>
      <c r="Z32" s="199"/>
      <c r="AA32" s="199">
        <v>0</v>
      </c>
      <c r="AB32" s="199"/>
      <c r="AC32" s="199">
        <v>7400</v>
      </c>
      <c r="AD32" s="199">
        <v>3123</v>
      </c>
      <c r="AE32" s="199"/>
      <c r="AF32" s="199"/>
    </row>
    <row r="33" spans="1:32" ht="11.25">
      <c r="A33" s="196" t="s">
        <v>314</v>
      </c>
      <c r="B33" s="197">
        <f t="shared" si="0"/>
        <v>16957.22</v>
      </c>
      <c r="C33" s="197"/>
      <c r="D33" s="197">
        <v>300</v>
      </c>
      <c r="E33" s="197"/>
      <c r="F33" s="197"/>
      <c r="G33" s="197"/>
      <c r="H33" s="197"/>
      <c r="I33" s="197"/>
      <c r="J33" s="197"/>
      <c r="K33" s="197"/>
      <c r="L33" s="197"/>
      <c r="M33" s="197"/>
      <c r="N33" s="197">
        <v>9000</v>
      </c>
      <c r="O33" s="197"/>
      <c r="P33" s="197"/>
      <c r="Q33" s="197"/>
      <c r="R33" s="197"/>
      <c r="S33" s="197"/>
      <c r="T33" s="197"/>
      <c r="U33" s="197"/>
      <c r="V33" s="197"/>
      <c r="W33" s="197">
        <v>31</v>
      </c>
      <c r="X33" s="197">
        <v>52</v>
      </c>
      <c r="Y33" s="197">
        <v>2617</v>
      </c>
      <c r="Z33" s="197"/>
      <c r="AA33" s="197">
        <v>1557.22</v>
      </c>
      <c r="AB33" s="197"/>
      <c r="AC33" s="197"/>
      <c r="AD33" s="197">
        <v>3400</v>
      </c>
      <c r="AE33" s="197"/>
      <c r="AF33" s="197"/>
    </row>
    <row r="34" spans="1:32" ht="11.25">
      <c r="A34" s="201" t="s">
        <v>0</v>
      </c>
      <c r="B34" s="202">
        <f>SUM(B12:B33)</f>
        <v>404901.61</v>
      </c>
      <c r="C34" s="202">
        <f>SUM(C12:C33)</f>
        <v>4551</v>
      </c>
      <c r="D34" s="202">
        <f aca="true" t="shared" si="1" ref="D34:AF34">SUM(D12:D33)</f>
        <v>10985.07</v>
      </c>
      <c r="E34" s="202">
        <f t="shared" si="1"/>
        <v>14000</v>
      </c>
      <c r="F34" s="202">
        <f t="shared" si="1"/>
        <v>8352.82</v>
      </c>
      <c r="G34" s="202">
        <f t="shared" si="1"/>
        <v>1050</v>
      </c>
      <c r="H34" s="202">
        <f t="shared" si="1"/>
        <v>13240.87</v>
      </c>
      <c r="I34" s="202">
        <f t="shared" si="1"/>
        <v>52066.52</v>
      </c>
      <c r="J34" s="202">
        <f t="shared" si="1"/>
        <v>38.6</v>
      </c>
      <c r="K34" s="202">
        <f t="shared" si="1"/>
        <v>22500.3</v>
      </c>
      <c r="L34" s="202">
        <f t="shared" si="1"/>
        <v>13340.18</v>
      </c>
      <c r="M34" s="202">
        <f t="shared" si="1"/>
        <v>6000</v>
      </c>
      <c r="N34" s="202">
        <f t="shared" si="1"/>
        <v>34500</v>
      </c>
      <c r="O34" s="202">
        <f t="shared" si="1"/>
        <v>1706.91</v>
      </c>
      <c r="P34" s="202">
        <f t="shared" si="1"/>
        <v>5304</v>
      </c>
      <c r="Q34" s="202">
        <f t="shared" si="1"/>
        <v>1600</v>
      </c>
      <c r="R34" s="202">
        <f t="shared" si="1"/>
        <v>6292</v>
      </c>
      <c r="S34" s="202">
        <f t="shared" si="1"/>
        <v>1386</v>
      </c>
      <c r="T34" s="202">
        <f t="shared" si="1"/>
        <v>36962.369999999995</v>
      </c>
      <c r="U34" s="202">
        <f t="shared" si="1"/>
        <v>265</v>
      </c>
      <c r="V34" s="202">
        <f t="shared" si="1"/>
        <v>1535</v>
      </c>
      <c r="W34" s="202">
        <f t="shared" si="1"/>
        <v>13438.220000000001</v>
      </c>
      <c r="X34" s="202">
        <f t="shared" si="1"/>
        <v>13161.119999999999</v>
      </c>
      <c r="Y34" s="202">
        <f t="shared" si="1"/>
        <v>34246.4</v>
      </c>
      <c r="Z34" s="202">
        <f t="shared" si="1"/>
        <v>17905</v>
      </c>
      <c r="AA34" s="202">
        <f t="shared" si="1"/>
        <v>13075.3</v>
      </c>
      <c r="AB34" s="202">
        <f t="shared" si="1"/>
        <v>400</v>
      </c>
      <c r="AC34" s="202">
        <f t="shared" si="1"/>
        <v>7400</v>
      </c>
      <c r="AD34" s="202">
        <f t="shared" si="1"/>
        <v>28701.47</v>
      </c>
      <c r="AE34" s="202">
        <f t="shared" si="1"/>
        <v>13250</v>
      </c>
      <c r="AF34" s="202">
        <f t="shared" si="1"/>
        <v>27647.46</v>
      </c>
    </row>
    <row r="37" spans="1:6" ht="11.25">
      <c r="A37" s="203"/>
      <c r="D37" s="2"/>
      <c r="E37" s="2"/>
      <c r="F37" s="2"/>
    </row>
  </sheetData>
  <sheetProtection/>
  <mergeCells count="15">
    <mergeCell ref="G9:K9"/>
    <mergeCell ref="N9:O9"/>
    <mergeCell ref="P9:Z9"/>
    <mergeCell ref="AA9:AF9"/>
    <mergeCell ref="C10:E10"/>
    <mergeCell ref="G10:K10"/>
    <mergeCell ref="N10:O10"/>
    <mergeCell ref="P10:T10"/>
    <mergeCell ref="U10:Z10"/>
    <mergeCell ref="AA10:AF10"/>
    <mergeCell ref="A6:AF6"/>
    <mergeCell ref="A8:A11"/>
    <mergeCell ref="B8:B11"/>
    <mergeCell ref="C8:AF8"/>
    <mergeCell ref="C9:F9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H.Zastrożna</cp:lastModifiedBy>
  <cp:lastPrinted>2019-09-02T12:04:57Z</cp:lastPrinted>
  <dcterms:created xsi:type="dcterms:W3CDTF">1997-02-26T13:46:56Z</dcterms:created>
  <dcterms:modified xsi:type="dcterms:W3CDTF">2019-09-02T12:05:40Z</dcterms:modified>
  <cp:category/>
  <cp:version/>
  <cp:contentType/>
  <cp:contentStatus/>
</cp:coreProperties>
</file>